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210" yWindow="255" windowWidth="15345" windowHeight="4380" tabRatio="821" activeTab="3"/>
  </bookViews>
  <sheets>
    <sheet name="Id" sheetId="7" r:id="rId1"/>
    <sheet name="STATUS DE INSPECCIONES" sheetId="25" r:id="rId2"/>
    <sheet name="ALS" sheetId="33" r:id="rId3"/>
    <sheet name="COMPONENTS STATUS" sheetId="31" r:id="rId4"/>
    <sheet name="AD DE AERONAVE" sheetId="5" r:id="rId5"/>
    <sheet name="AD's MOTOR 1" sheetId="28" r:id="rId6"/>
    <sheet name="AD´s MOTOR 2" sheetId="30" r:id="rId7"/>
    <sheet name="ADs APPLIANCES" sheetId="29" state="hidden" r:id="rId8"/>
    <sheet name="ICA" sheetId="19" r:id="rId9"/>
    <sheet name="DA" sheetId="24" r:id="rId10"/>
    <sheet name="CONTROL DIARIO" sheetId="26" state="hidden" r:id="rId11"/>
    <sheet name="OPCIONALES" sheetId="32" state="hidden" r:id="rId12"/>
  </sheets>
  <externalReferences>
    <externalReference r:id="rId13"/>
    <externalReference r:id="rId14"/>
  </externalReferences>
  <definedNames>
    <definedName name="_xlnm._FilterDatabase" localSheetId="4" hidden="1">'AD DE AERONAVE'!$A$8:$L$162</definedName>
    <definedName name="_xlnm._FilterDatabase" localSheetId="6" hidden="1">'AD´s MOTOR 2'!$A$8:$L$12</definedName>
    <definedName name="_xlnm._FilterDatabase" localSheetId="7" hidden="1">'ADs APPLIANCES'!$A$8:$L$42</definedName>
    <definedName name="_xlnm._FilterDatabase" localSheetId="5" hidden="1">'AD''s MOTOR 1'!$A$8:$L$12</definedName>
    <definedName name="_xlnm._FilterDatabase" localSheetId="2" hidden="1">ALS!#REF!</definedName>
    <definedName name="_xlnm._FilterDatabase" localSheetId="3" hidden="1">'COMPONENTS STATUS'!$A$10:$V$263</definedName>
    <definedName name="_xlnm._FilterDatabase" localSheetId="9" hidden="1">DA!$A$9:$O$32</definedName>
    <definedName name="_xlnm._FilterDatabase" localSheetId="8" hidden="1">ICA!$A$8:$B$10</definedName>
    <definedName name="_xlnm._FilterDatabase" localSheetId="1" hidden="1">'STATUS DE INSPECCIONES'!$B$13:$M$155</definedName>
    <definedName name="_xlnm.Criteria">[1]CELULA!#REF!</definedName>
    <definedName name="_xlnm.Database">[1]CELULA!$C$64:$L$242</definedName>
    <definedName name="EAROCHILE">"Gráfico 28"</definedName>
    <definedName name="_xlnm.Extract">[1]CELULA!#REF!</definedName>
    <definedName name="parte">[2]CELULA!#REF!</definedName>
    <definedName name="partes">[2]CELULA!$C$64:$L$242</definedName>
    <definedName name="_xlnm.Print_Area" localSheetId="4">'AD DE AERONAVE'!$A$1:$L$166</definedName>
    <definedName name="_xlnm.Print_Area" localSheetId="6">'AD´s MOTOR 2'!$A$1:$L$12</definedName>
    <definedName name="_xlnm.Print_Area" localSheetId="5">'AD''s MOTOR 1'!$A$1:$L$12</definedName>
    <definedName name="_xlnm.Print_Area" localSheetId="2">ALS!#REF!</definedName>
    <definedName name="_xlnm.Print_Area" localSheetId="3">'COMPONENTS STATUS'!$A$1:$T$263</definedName>
    <definedName name="_xlnm.Print_Area" localSheetId="9">DA!$A$1:$O$34</definedName>
    <definedName name="_xlnm.Print_Area" localSheetId="8">ICA!$A$1:$I$36</definedName>
    <definedName name="_xlnm.Print_Area" localSheetId="0">Id!$A$1:$E$27</definedName>
    <definedName name="_xlnm.Print_Area" localSheetId="1">'STATUS DE INSPECCIONES'!$B$1:$M$156</definedName>
    <definedName name="_xlnm.Print_Titles" localSheetId="4">'AD DE AERONAVE'!$1:$8</definedName>
    <definedName name="_xlnm.Print_Titles" localSheetId="7">'ADs APPLIANCES'!$1:$8</definedName>
    <definedName name="_xlnm.Print_Titles" localSheetId="5">'AD''s MOTOR 1'!$1:$8</definedName>
    <definedName name="_xlnm.Print_Titles" localSheetId="2">ALS!#REF!</definedName>
    <definedName name="_xlnm.Print_Titles" localSheetId="3">'COMPONENTS STATUS'!$1:$10</definedName>
    <definedName name="_xlnm.Print_Titles" localSheetId="8">ICA!$12:$15</definedName>
    <definedName name="_xlnm.Print_Titles" localSheetId="1">'STATUS DE INSPECCIONES'!$1:$13</definedName>
  </definedNames>
  <calcPr calcId="145621"/>
</workbook>
</file>

<file path=xl/calcChain.xml><?xml version="1.0" encoding="utf-8"?>
<calcChain xmlns="http://schemas.openxmlformats.org/spreadsheetml/2006/main">
  <c r="J37" i="33" l="1"/>
  <c r="M183" i="31"/>
  <c r="L9" i="25"/>
  <c r="F24" i="19"/>
  <c r="K19" i="24"/>
  <c r="K18" i="24"/>
  <c r="F23" i="19"/>
  <c r="M212" i="31"/>
  <c r="M225" i="31"/>
  <c r="M186" i="31"/>
  <c r="V186" i="31"/>
  <c r="M30" i="31"/>
  <c r="S26" i="31"/>
  <c r="S24" i="31"/>
  <c r="U24" i="31" s="1"/>
  <c r="V28" i="31"/>
  <c r="Q28" i="31"/>
  <c r="Q27" i="31"/>
  <c r="Q25" i="31"/>
  <c r="I151" i="25" l="1"/>
  <c r="I149" i="25"/>
  <c r="I147" i="25"/>
  <c r="J52" i="25" l="1"/>
  <c r="I52" i="25"/>
  <c r="J48" i="25"/>
  <c r="I48" i="25"/>
  <c r="G22" i="19" l="1"/>
  <c r="G21" i="19"/>
  <c r="F22" i="19"/>
  <c r="J54" i="33" l="1"/>
  <c r="J142" i="25"/>
  <c r="J136" i="25"/>
  <c r="I42" i="25"/>
  <c r="I44" i="25"/>
  <c r="I40" i="25"/>
  <c r="J40" i="25"/>
  <c r="L9" i="33" l="1"/>
  <c r="L8" i="33"/>
  <c r="L7" i="33"/>
  <c r="H8" i="33"/>
  <c r="H7" i="33"/>
  <c r="C8" i="33"/>
  <c r="C7" i="33"/>
  <c r="L37" i="33" s="1"/>
  <c r="J34" i="33"/>
  <c r="J24" i="33"/>
  <c r="I97" i="25"/>
  <c r="I96" i="25"/>
  <c r="J88" i="25"/>
  <c r="G20" i="19"/>
  <c r="F21" i="19"/>
  <c r="L34" i="33" l="1"/>
  <c r="N34" i="33" s="1"/>
  <c r="L24" i="33"/>
  <c r="N24" i="33" s="1"/>
  <c r="N37" i="33"/>
  <c r="L54" i="33"/>
  <c r="N54" i="33" s="1"/>
  <c r="J66" i="25" l="1"/>
  <c r="I66" i="25"/>
  <c r="J64" i="25"/>
  <c r="I64" i="25"/>
  <c r="J61" i="25"/>
  <c r="I61" i="25"/>
  <c r="J57" i="25"/>
  <c r="I57" i="25"/>
  <c r="J55" i="25"/>
  <c r="I55" i="25"/>
  <c r="I70" i="25" l="1"/>
  <c r="I22" i="25" l="1"/>
  <c r="J20" i="25"/>
  <c r="J19" i="25"/>
  <c r="J147" i="25" l="1"/>
  <c r="J149" i="25"/>
  <c r="J151" i="25"/>
  <c r="J135" i="25"/>
  <c r="G19" i="19" l="1"/>
  <c r="I154" i="25"/>
  <c r="I72" i="25"/>
  <c r="Q33" i="31" l="1"/>
  <c r="Q39" i="31"/>
  <c r="Q44" i="31"/>
  <c r="I3" i="32"/>
  <c r="Q34" i="32"/>
  <c r="Q33" i="32"/>
  <c r="S32" i="32"/>
  <c r="Q31" i="32"/>
  <c r="S30" i="32"/>
  <c r="U30" i="32" s="1"/>
  <c r="S1" i="31"/>
  <c r="S1" i="32"/>
  <c r="S25" i="32" s="1"/>
  <c r="Q45" i="31"/>
  <c r="Q157" i="31"/>
  <c r="L4" i="5"/>
  <c r="L3" i="5"/>
  <c r="L2" i="5"/>
  <c r="K16" i="24"/>
  <c r="Q16" i="24"/>
  <c r="F18" i="19"/>
  <c r="V34" i="32"/>
  <c r="O5" i="32"/>
  <c r="I5" i="32"/>
  <c r="C5" i="32"/>
  <c r="S37" i="32" s="1"/>
  <c r="U37" i="32" s="1"/>
  <c r="O4" i="32"/>
  <c r="I4" i="32"/>
  <c r="C4" i="32"/>
  <c r="C3" i="32"/>
  <c r="O2" i="32"/>
  <c r="I2" i="32"/>
  <c r="C2" i="32"/>
  <c r="O1" i="32"/>
  <c r="I1" i="32"/>
  <c r="C1" i="32"/>
  <c r="F17" i="19"/>
  <c r="F16" i="19"/>
  <c r="K14" i="24"/>
  <c r="K13" i="24"/>
  <c r="K12" i="24"/>
  <c r="K11" i="24"/>
  <c r="K10" i="24"/>
  <c r="I75" i="25"/>
  <c r="J75" i="25"/>
  <c r="L76" i="25" s="1"/>
  <c r="J77" i="25"/>
  <c r="I77" i="25"/>
  <c r="I80" i="25"/>
  <c r="I79" i="25"/>
  <c r="O5" i="31"/>
  <c r="I5" i="31"/>
  <c r="J151" i="5"/>
  <c r="J38" i="25"/>
  <c r="J155" i="5"/>
  <c r="J143" i="5"/>
  <c r="J42" i="25"/>
  <c r="J44" i="25"/>
  <c r="J37" i="25"/>
  <c r="J54" i="25"/>
  <c r="J32" i="25"/>
  <c r="J31" i="25"/>
  <c r="I30" i="25"/>
  <c r="I28" i="25"/>
  <c r="J28" i="25"/>
  <c r="J27" i="25"/>
  <c r="I26" i="25"/>
  <c r="I24" i="25"/>
  <c r="J24" i="25"/>
  <c r="J23" i="25"/>
  <c r="I20" i="25"/>
  <c r="J137" i="25"/>
  <c r="J141" i="25"/>
  <c r="J143" i="25"/>
  <c r="B3" i="30"/>
  <c r="B2" i="30"/>
  <c r="B3" i="28"/>
  <c r="B2" i="28"/>
  <c r="Q14" i="31"/>
  <c r="Q175" i="31"/>
  <c r="Q172" i="31"/>
  <c r="Q169" i="31"/>
  <c r="Q159" i="31"/>
  <c r="Q143" i="31"/>
  <c r="Q136" i="31"/>
  <c r="Q134" i="31"/>
  <c r="Q126" i="31"/>
  <c r="Q116" i="31"/>
  <c r="Q109" i="31"/>
  <c r="O4" i="31"/>
  <c r="O248" i="31" s="1"/>
  <c r="O2" i="31"/>
  <c r="O1" i="31"/>
  <c r="I4" i="31"/>
  <c r="O199" i="31" s="1"/>
  <c r="I2" i="31"/>
  <c r="I1" i="31"/>
  <c r="C5" i="31"/>
  <c r="C4" i="31"/>
  <c r="C3" i="31"/>
  <c r="C2" i="31"/>
  <c r="C1" i="31"/>
  <c r="Q156" i="31"/>
  <c r="Q115" i="31"/>
  <c r="J63" i="25"/>
  <c r="I34" i="25"/>
  <c r="I32" i="25"/>
  <c r="P34" i="25"/>
  <c r="C7" i="25"/>
  <c r="I59" i="25"/>
  <c r="Q241" i="31"/>
  <c r="Q230" i="31"/>
  <c r="Q254" i="31"/>
  <c r="Q255" i="31"/>
  <c r="Q256" i="31"/>
  <c r="Q257" i="31"/>
  <c r="Q258" i="31"/>
  <c r="Q259" i="31"/>
  <c r="Q260" i="31"/>
  <c r="Q261" i="31"/>
  <c r="Q253" i="31"/>
  <c r="Q252" i="31"/>
  <c r="J155" i="25"/>
  <c r="H8" i="19"/>
  <c r="H24" i="19" s="1"/>
  <c r="U55" i="31"/>
  <c r="U82" i="31"/>
  <c r="U151" i="31"/>
  <c r="U165" i="31"/>
  <c r="U166" i="31"/>
  <c r="Q248" i="31"/>
  <c r="Q247" i="31"/>
  <c r="Q246" i="31"/>
  <c r="Q245" i="31"/>
  <c r="Q244" i="31"/>
  <c r="Q243" i="31"/>
  <c r="Q242" i="31"/>
  <c r="Q240" i="31"/>
  <c r="Q239" i="31"/>
  <c r="Q238" i="31"/>
  <c r="Q236" i="31"/>
  <c r="Q235" i="31"/>
  <c r="Q234" i="31"/>
  <c r="Q231" i="31"/>
  <c r="Q233" i="31"/>
  <c r="Q232" i="31"/>
  <c r="Q228" i="31"/>
  <c r="Q229" i="31"/>
  <c r="Q226" i="31"/>
  <c r="Q209" i="31"/>
  <c r="Q208" i="31"/>
  <c r="Q207" i="31"/>
  <c r="Q206" i="31"/>
  <c r="Q205" i="31"/>
  <c r="Q204" i="31"/>
  <c r="Q203" i="31"/>
  <c r="Q202" i="31"/>
  <c r="Q201" i="31"/>
  <c r="Q200" i="31"/>
  <c r="Q199" i="31"/>
  <c r="Q197" i="31"/>
  <c r="Q196" i="31"/>
  <c r="Q195" i="31"/>
  <c r="Q194" i="31"/>
  <c r="Q193" i="31"/>
  <c r="Q192" i="31"/>
  <c r="Q191" i="31"/>
  <c r="Q190" i="31"/>
  <c r="Q189" i="31"/>
  <c r="Q187" i="31"/>
  <c r="Q177" i="31"/>
  <c r="Q174" i="31"/>
  <c r="Q171" i="31"/>
  <c r="Q168" i="31"/>
  <c r="Q158" i="31"/>
  <c r="Q142" i="31"/>
  <c r="Q135" i="31"/>
  <c r="Q125" i="31"/>
  <c r="Q108" i="31"/>
  <c r="Q52" i="31"/>
  <c r="I83" i="25"/>
  <c r="I50" i="25"/>
  <c r="I38" i="25"/>
  <c r="J59" i="25"/>
  <c r="J50" i="25"/>
  <c r="E265" i="26"/>
  <c r="E262" i="26"/>
  <c r="E261" i="26"/>
  <c r="E260" i="26"/>
  <c r="E257" i="26"/>
  <c r="E251" i="26"/>
  <c r="E245" i="26"/>
  <c r="M226" i="26"/>
  <c r="M225" i="26"/>
  <c r="M224" i="26"/>
  <c r="M223" i="26"/>
  <c r="M222" i="26"/>
  <c r="M221" i="26"/>
  <c r="M220" i="26"/>
  <c r="M219" i="26"/>
  <c r="M218" i="26"/>
  <c r="M217" i="26"/>
  <c r="M216" i="26"/>
  <c r="M215" i="26"/>
  <c r="Q167" i="26"/>
  <c r="Q168" i="26" s="1"/>
  <c r="Q169" i="26" s="1"/>
  <c r="Q170" i="26" s="1"/>
  <c r="Q171" i="26" s="1"/>
  <c r="Q172" i="26" s="1"/>
  <c r="Q173" i="26" s="1"/>
  <c r="Q174" i="26" s="1"/>
  <c r="Q175" i="26" s="1"/>
  <c r="M167" i="26"/>
  <c r="M168" i="26" s="1"/>
  <c r="M169" i="26" s="1"/>
  <c r="M170" i="26" s="1"/>
  <c r="M171" i="26" s="1"/>
  <c r="M172" i="26" s="1"/>
  <c r="M173" i="26" s="1"/>
  <c r="M174" i="26" s="1"/>
  <c r="M175" i="26" s="1"/>
  <c r="L167" i="26"/>
  <c r="L168" i="26" s="1"/>
  <c r="L169" i="26" s="1"/>
  <c r="L170" i="26" s="1"/>
  <c r="L171" i="26" s="1"/>
  <c r="L172" i="26" s="1"/>
  <c r="L173" i="26" s="1"/>
  <c r="L174" i="26" s="1"/>
  <c r="L175" i="26" s="1"/>
  <c r="J167" i="26"/>
  <c r="J168" i="26" s="1"/>
  <c r="J169" i="26" s="1"/>
  <c r="J170" i="26" s="1"/>
  <c r="J171" i="26" s="1"/>
  <c r="J172" i="26" s="1"/>
  <c r="J173" i="26" s="1"/>
  <c r="J174" i="26" s="1"/>
  <c r="J175" i="26" s="1"/>
  <c r="I167" i="26"/>
  <c r="I168" i="26" s="1"/>
  <c r="I169" i="26" s="1"/>
  <c r="I170" i="26" s="1"/>
  <c r="I171" i="26" s="1"/>
  <c r="I172" i="26" s="1"/>
  <c r="I173" i="26" s="1"/>
  <c r="I174" i="26" s="1"/>
  <c r="I175" i="26" s="1"/>
  <c r="T7" i="26"/>
  <c r="T8" i="26" s="1"/>
  <c r="T9" i="26" s="1"/>
  <c r="T10" i="26" s="1"/>
  <c r="T11" i="26" s="1"/>
  <c r="T12" i="26" s="1"/>
  <c r="T13" i="26" s="1"/>
  <c r="T14" i="26" s="1"/>
  <c r="T15" i="26" s="1"/>
  <c r="T16" i="26" s="1"/>
  <c r="T17" i="26" s="1"/>
  <c r="T18" i="26" s="1"/>
  <c r="T19" i="26" s="1"/>
  <c r="T20" i="26" s="1"/>
  <c r="T21" i="26" s="1"/>
  <c r="T22" i="26" s="1"/>
  <c r="T23" i="26" s="1"/>
  <c r="T24" i="26" s="1"/>
  <c r="T25" i="26" s="1"/>
  <c r="T26" i="26" s="1"/>
  <c r="T27" i="26" s="1"/>
  <c r="T28" i="26" s="1"/>
  <c r="T29" i="26" s="1"/>
  <c r="T30" i="26" s="1"/>
  <c r="T31" i="26" s="1"/>
  <c r="T32" i="26" s="1"/>
  <c r="T33" i="26" s="1"/>
  <c r="T34" i="26" s="1"/>
  <c r="T35" i="26" s="1"/>
  <c r="T36" i="26" s="1"/>
  <c r="T37" i="26" s="1"/>
  <c r="T38" i="26" s="1"/>
  <c r="T39" i="26" s="1"/>
  <c r="T40" i="26" s="1"/>
  <c r="T41" i="26" s="1"/>
  <c r="T42" i="26" s="1"/>
  <c r="T43" i="26" s="1"/>
  <c r="T44" i="26" s="1"/>
  <c r="T45" i="26" s="1"/>
  <c r="T46" i="26" s="1"/>
  <c r="T47" i="26" s="1"/>
  <c r="T48" i="26" s="1"/>
  <c r="T49" i="26" s="1"/>
  <c r="T50" i="26" s="1"/>
  <c r="T51" i="26" s="1"/>
  <c r="T52" i="26" s="1"/>
  <c r="T53" i="26" s="1"/>
  <c r="T54" i="26" s="1"/>
  <c r="T55" i="26" s="1"/>
  <c r="T56" i="26" s="1"/>
  <c r="T57" i="26" s="1"/>
  <c r="T58" i="26" s="1"/>
  <c r="T59" i="26" s="1"/>
  <c r="T60" i="26" s="1"/>
  <c r="T61" i="26" s="1"/>
  <c r="T62" i="26" s="1"/>
  <c r="T63" i="26" s="1"/>
  <c r="T64" i="26" s="1"/>
  <c r="T65" i="26" s="1"/>
  <c r="T66" i="26" s="1"/>
  <c r="T67" i="26" s="1"/>
  <c r="T68" i="26" s="1"/>
  <c r="T69" i="26" s="1"/>
  <c r="T70" i="26" s="1"/>
  <c r="T71" i="26" s="1"/>
  <c r="T72" i="26" s="1"/>
  <c r="T73" i="26" s="1"/>
  <c r="T74" i="26" s="1"/>
  <c r="T75" i="26" s="1"/>
  <c r="T76" i="26" s="1"/>
  <c r="T77" i="26" s="1"/>
  <c r="T78" i="26" s="1"/>
  <c r="T79" i="26" s="1"/>
  <c r="T80" i="26" s="1"/>
  <c r="T81" i="26" s="1"/>
  <c r="T82" i="26" s="1"/>
  <c r="T83" i="26" s="1"/>
  <c r="T84" i="26" s="1"/>
  <c r="T85" i="26" s="1"/>
  <c r="T86" i="26" s="1"/>
  <c r="T87" i="26" s="1"/>
  <c r="T88" i="26" s="1"/>
  <c r="T89" i="26" s="1"/>
  <c r="T90" i="26" s="1"/>
  <c r="T91" i="26" s="1"/>
  <c r="T92" i="26" s="1"/>
  <c r="T93" i="26" s="1"/>
  <c r="T94" i="26" s="1"/>
  <c r="T95" i="26" s="1"/>
  <c r="T96" i="26" s="1"/>
  <c r="T97" i="26" s="1"/>
  <c r="T98" i="26" s="1"/>
  <c r="T99" i="26" s="1"/>
  <c r="T100" i="26" s="1"/>
  <c r="T101" i="26" s="1"/>
  <c r="T102" i="26" s="1"/>
  <c r="T103" i="26" s="1"/>
  <c r="T104" i="26" s="1"/>
  <c r="T105" i="26" s="1"/>
  <c r="T106" i="26" s="1"/>
  <c r="T107" i="26" s="1"/>
  <c r="T108" i="26" s="1"/>
  <c r="T109" i="26" s="1"/>
  <c r="T110" i="26" s="1"/>
  <c r="T111" i="26" s="1"/>
  <c r="T112" i="26" s="1"/>
  <c r="T113" i="26" s="1"/>
  <c r="T114" i="26" s="1"/>
  <c r="T115" i="26" s="1"/>
  <c r="T116" i="26" s="1"/>
  <c r="T117" i="26" s="1"/>
  <c r="T118" i="26" s="1"/>
  <c r="T119" i="26" s="1"/>
  <c r="T120" i="26" s="1"/>
  <c r="T121" i="26" s="1"/>
  <c r="T122" i="26" s="1"/>
  <c r="T123" i="26" s="1"/>
  <c r="T124" i="26" s="1"/>
  <c r="T125" i="26" s="1"/>
  <c r="T126" i="26" s="1"/>
  <c r="T127" i="26" s="1"/>
  <c r="T128" i="26" s="1"/>
  <c r="T129" i="26" s="1"/>
  <c r="T130" i="26" s="1"/>
  <c r="T131" i="26" s="1"/>
  <c r="T132" i="26" s="1"/>
  <c r="T133" i="26" s="1"/>
  <c r="T134" i="26" s="1"/>
  <c r="T135" i="26" s="1"/>
  <c r="T136" i="26" s="1"/>
  <c r="T137" i="26" s="1"/>
  <c r="T138" i="26" s="1"/>
  <c r="T139" i="26" s="1"/>
  <c r="T140" i="26" s="1"/>
  <c r="T141" i="26" s="1"/>
  <c r="T142" i="26" s="1"/>
  <c r="T143" i="26" s="1"/>
  <c r="T144" i="26" s="1"/>
  <c r="T145" i="26" s="1"/>
  <c r="T146" i="26" s="1"/>
  <c r="T147" i="26" s="1"/>
  <c r="T148" i="26" s="1"/>
  <c r="T149" i="26" s="1"/>
  <c r="T150" i="26" s="1"/>
  <c r="T151" i="26" s="1"/>
  <c r="T152" i="26" s="1"/>
  <c r="T153" i="26" s="1"/>
  <c r="T154" i="26" s="1"/>
  <c r="T155" i="26" s="1"/>
  <c r="T156" i="26" s="1"/>
  <c r="T157" i="26" s="1"/>
  <c r="T158" i="26" s="1"/>
  <c r="T159" i="26" s="1"/>
  <c r="T160" i="26" s="1"/>
  <c r="T161" i="26" s="1"/>
  <c r="T162" i="26" s="1"/>
  <c r="T163" i="26" s="1"/>
  <c r="T164" i="26" s="1"/>
  <c r="T165" i="26" s="1"/>
  <c r="T166" i="26" s="1"/>
  <c r="T167" i="26" s="1"/>
  <c r="T168" i="26" s="1"/>
  <c r="T169" i="26" s="1"/>
  <c r="T170" i="26" s="1"/>
  <c r="T171" i="26" s="1"/>
  <c r="T172" i="26" s="1"/>
  <c r="T173" i="26" s="1"/>
  <c r="T174" i="26" s="1"/>
  <c r="T175" i="26" s="1"/>
  <c r="S7" i="26"/>
  <c r="S8" i="26" s="1"/>
  <c r="S9" i="26" s="1"/>
  <c r="S10" i="26" s="1"/>
  <c r="S11" i="26" s="1"/>
  <c r="S12" i="26" s="1"/>
  <c r="S13" i="26" s="1"/>
  <c r="S14" i="26" s="1"/>
  <c r="S15" i="26" s="1"/>
  <c r="S16" i="26" s="1"/>
  <c r="S17" i="26" s="1"/>
  <c r="S18" i="26" s="1"/>
  <c r="S19" i="26" s="1"/>
  <c r="S20" i="26" s="1"/>
  <c r="S21" i="26" s="1"/>
  <c r="S22" i="26" s="1"/>
  <c r="S23" i="26" s="1"/>
  <c r="S24" i="26" s="1"/>
  <c r="S25" i="26" s="1"/>
  <c r="S26" i="26" s="1"/>
  <c r="S27" i="26" s="1"/>
  <c r="S28" i="26" s="1"/>
  <c r="S29" i="26" s="1"/>
  <c r="S30" i="26" s="1"/>
  <c r="S31" i="26" s="1"/>
  <c r="S32" i="26" s="1"/>
  <c r="S33" i="26" s="1"/>
  <c r="S34" i="26" s="1"/>
  <c r="S35" i="26" s="1"/>
  <c r="S36" i="26" s="1"/>
  <c r="S37" i="26" s="1"/>
  <c r="S38" i="26" s="1"/>
  <c r="S39" i="26" s="1"/>
  <c r="S40" i="26" s="1"/>
  <c r="S41" i="26" s="1"/>
  <c r="S42" i="26" s="1"/>
  <c r="S43" i="26" s="1"/>
  <c r="S44" i="26" s="1"/>
  <c r="S45" i="26" s="1"/>
  <c r="S46" i="26" s="1"/>
  <c r="S47" i="26" s="1"/>
  <c r="S48" i="26" s="1"/>
  <c r="S49" i="26" s="1"/>
  <c r="S50" i="26" s="1"/>
  <c r="S51" i="26" s="1"/>
  <c r="S52" i="26" s="1"/>
  <c r="S53" i="26" s="1"/>
  <c r="S54" i="26" s="1"/>
  <c r="S55" i="26" s="1"/>
  <c r="S56" i="26" s="1"/>
  <c r="S57" i="26" s="1"/>
  <c r="S58" i="26" s="1"/>
  <c r="S59" i="26" s="1"/>
  <c r="S60" i="26" s="1"/>
  <c r="S61" i="26" s="1"/>
  <c r="S62" i="26" s="1"/>
  <c r="S63" i="26" s="1"/>
  <c r="S64" i="26" s="1"/>
  <c r="S65" i="26" s="1"/>
  <c r="S66" i="26" s="1"/>
  <c r="S67" i="26" s="1"/>
  <c r="S68" i="26" s="1"/>
  <c r="S69" i="26" s="1"/>
  <c r="S70" i="26" s="1"/>
  <c r="S71" i="26" s="1"/>
  <c r="S72" i="26" s="1"/>
  <c r="S73" i="26" s="1"/>
  <c r="S74" i="26" s="1"/>
  <c r="S75" i="26" s="1"/>
  <c r="S76" i="26" s="1"/>
  <c r="S77" i="26" s="1"/>
  <c r="S78" i="26" s="1"/>
  <c r="S79" i="26" s="1"/>
  <c r="S80" i="26" s="1"/>
  <c r="S81" i="26" s="1"/>
  <c r="S82" i="26" s="1"/>
  <c r="S83" i="26" s="1"/>
  <c r="S84" i="26" s="1"/>
  <c r="S85" i="26" s="1"/>
  <c r="S86" i="26" s="1"/>
  <c r="S87" i="26" s="1"/>
  <c r="S88" i="26" s="1"/>
  <c r="S89" i="26" s="1"/>
  <c r="S90" i="26" s="1"/>
  <c r="S91" i="26" s="1"/>
  <c r="S92" i="26" s="1"/>
  <c r="S93" i="26" s="1"/>
  <c r="S94" i="26" s="1"/>
  <c r="S95" i="26" s="1"/>
  <c r="S96" i="26" s="1"/>
  <c r="S97" i="26" s="1"/>
  <c r="S98" i="26" s="1"/>
  <c r="S99" i="26" s="1"/>
  <c r="S100" i="26" s="1"/>
  <c r="S101" i="26" s="1"/>
  <c r="S102" i="26" s="1"/>
  <c r="S103" i="26" s="1"/>
  <c r="S104" i="26" s="1"/>
  <c r="S105" i="26" s="1"/>
  <c r="S106" i="26" s="1"/>
  <c r="S107" i="26" s="1"/>
  <c r="S108" i="26" s="1"/>
  <c r="S109" i="26" s="1"/>
  <c r="S110" i="26" s="1"/>
  <c r="S111" i="26" s="1"/>
  <c r="S112" i="26" s="1"/>
  <c r="S113" i="26" s="1"/>
  <c r="S114" i="26" s="1"/>
  <c r="S115" i="26" s="1"/>
  <c r="S116" i="26" s="1"/>
  <c r="S117" i="26" s="1"/>
  <c r="S118" i="26" s="1"/>
  <c r="S119" i="26" s="1"/>
  <c r="S120" i="26" s="1"/>
  <c r="S121" i="26" s="1"/>
  <c r="S122" i="26" s="1"/>
  <c r="S123" i="26" s="1"/>
  <c r="S124" i="26" s="1"/>
  <c r="S125" i="26" s="1"/>
  <c r="S126" i="26" s="1"/>
  <c r="S127" i="26" s="1"/>
  <c r="S128" i="26" s="1"/>
  <c r="S129" i="26" s="1"/>
  <c r="S130" i="26" s="1"/>
  <c r="S131" i="26" s="1"/>
  <c r="S132" i="26" s="1"/>
  <c r="S133" i="26" s="1"/>
  <c r="S134" i="26" s="1"/>
  <c r="S135" i="26" s="1"/>
  <c r="S136" i="26" s="1"/>
  <c r="S137" i="26" s="1"/>
  <c r="S138" i="26" s="1"/>
  <c r="S139" i="26" s="1"/>
  <c r="S140" i="26" s="1"/>
  <c r="S141" i="26" s="1"/>
  <c r="S142" i="26" s="1"/>
  <c r="S143" i="26" s="1"/>
  <c r="S144" i="26" s="1"/>
  <c r="S145" i="26" s="1"/>
  <c r="S146" i="26" s="1"/>
  <c r="S147" i="26" s="1"/>
  <c r="S148" i="26" s="1"/>
  <c r="S149" i="26" s="1"/>
  <c r="S150" i="26" s="1"/>
  <c r="S151" i="26" s="1"/>
  <c r="S152" i="26" s="1"/>
  <c r="S153" i="26" s="1"/>
  <c r="S154" i="26" s="1"/>
  <c r="S155" i="26" s="1"/>
  <c r="S156" i="26" s="1"/>
  <c r="S157" i="26" s="1"/>
  <c r="S158" i="26" s="1"/>
  <c r="S159" i="26" s="1"/>
  <c r="S160" i="26" s="1"/>
  <c r="S161" i="26" s="1"/>
  <c r="S162" i="26" s="1"/>
  <c r="S163" i="26" s="1"/>
  <c r="S164" i="26" s="1"/>
  <c r="S165" i="26" s="1"/>
  <c r="S166" i="26" s="1"/>
  <c r="S167" i="26" s="1"/>
  <c r="S168" i="26" s="1"/>
  <c r="S169" i="26" s="1"/>
  <c r="S170" i="26" s="1"/>
  <c r="S171" i="26" s="1"/>
  <c r="S172" i="26" s="1"/>
  <c r="S173" i="26" s="1"/>
  <c r="S174" i="26" s="1"/>
  <c r="S175" i="26" s="1"/>
  <c r="O7" i="26"/>
  <c r="O8" i="26" s="1"/>
  <c r="O9" i="26" s="1"/>
  <c r="O10" i="26" s="1"/>
  <c r="O11" i="26" s="1"/>
  <c r="O12" i="26" s="1"/>
  <c r="O13" i="26" s="1"/>
  <c r="O14" i="26" s="1"/>
  <c r="O15" i="26" s="1"/>
  <c r="O16" i="26" s="1"/>
  <c r="O17" i="26" s="1"/>
  <c r="O18" i="26" s="1"/>
  <c r="O19" i="26" s="1"/>
  <c r="O20" i="26" s="1"/>
  <c r="O21" i="26" s="1"/>
  <c r="O22" i="26" s="1"/>
  <c r="O23" i="26" s="1"/>
  <c r="O24" i="26" s="1"/>
  <c r="O25" i="26" s="1"/>
  <c r="O26" i="26" s="1"/>
  <c r="O27" i="26" s="1"/>
  <c r="O28" i="26" s="1"/>
  <c r="O29" i="26" s="1"/>
  <c r="O30" i="26" s="1"/>
  <c r="O31" i="26" s="1"/>
  <c r="O32" i="26" s="1"/>
  <c r="O33" i="26" s="1"/>
  <c r="O34" i="26" s="1"/>
  <c r="O35" i="26" s="1"/>
  <c r="O36" i="26" s="1"/>
  <c r="O37" i="26" s="1"/>
  <c r="O38" i="26" s="1"/>
  <c r="O39" i="26" s="1"/>
  <c r="O40" i="26" s="1"/>
  <c r="O41" i="26" s="1"/>
  <c r="O42" i="26" s="1"/>
  <c r="O43" i="26" s="1"/>
  <c r="O44" i="26" s="1"/>
  <c r="O45" i="26" s="1"/>
  <c r="O46" i="26" s="1"/>
  <c r="O47" i="26" s="1"/>
  <c r="O48" i="26" s="1"/>
  <c r="O49" i="26" s="1"/>
  <c r="O50" i="26" s="1"/>
  <c r="O51" i="26" s="1"/>
  <c r="O52" i="26" s="1"/>
  <c r="O53" i="26" s="1"/>
  <c r="O54" i="26" s="1"/>
  <c r="O55" i="26" s="1"/>
  <c r="O56" i="26" s="1"/>
  <c r="O57" i="26" s="1"/>
  <c r="O58" i="26" s="1"/>
  <c r="O59" i="26" s="1"/>
  <c r="O60" i="26" s="1"/>
  <c r="O61" i="26" s="1"/>
  <c r="O62" i="26" s="1"/>
  <c r="O63" i="26" s="1"/>
  <c r="O64" i="26" s="1"/>
  <c r="O65" i="26" s="1"/>
  <c r="O66" i="26" s="1"/>
  <c r="O67" i="26" s="1"/>
  <c r="O68" i="26" s="1"/>
  <c r="O69" i="26" s="1"/>
  <c r="O70" i="26" s="1"/>
  <c r="O71" i="26" s="1"/>
  <c r="O72" i="26" s="1"/>
  <c r="O73" i="26" s="1"/>
  <c r="O74" i="26" s="1"/>
  <c r="O75" i="26" s="1"/>
  <c r="O76" i="26" s="1"/>
  <c r="O77" i="26" s="1"/>
  <c r="O78" i="26" s="1"/>
  <c r="O79" i="26" s="1"/>
  <c r="O80" i="26" s="1"/>
  <c r="O81" i="26" s="1"/>
  <c r="O82" i="26" s="1"/>
  <c r="O83" i="26" s="1"/>
  <c r="O84" i="26" s="1"/>
  <c r="O85" i="26" s="1"/>
  <c r="O86" i="26" s="1"/>
  <c r="O87" i="26" s="1"/>
  <c r="O88" i="26" s="1"/>
  <c r="O89" i="26" s="1"/>
  <c r="O90" i="26" s="1"/>
  <c r="O91" i="26" s="1"/>
  <c r="O92" i="26" s="1"/>
  <c r="O93" i="26" s="1"/>
  <c r="O94" i="26" s="1"/>
  <c r="O95" i="26" s="1"/>
  <c r="O96" i="26" s="1"/>
  <c r="O97" i="26" s="1"/>
  <c r="O98" i="26" s="1"/>
  <c r="O99" i="26" s="1"/>
  <c r="O100" i="26" s="1"/>
  <c r="O101" i="26" s="1"/>
  <c r="O102" i="26" s="1"/>
  <c r="O103" i="26" s="1"/>
  <c r="O104" i="26" s="1"/>
  <c r="O105" i="26" s="1"/>
  <c r="O106" i="26" s="1"/>
  <c r="O107" i="26" s="1"/>
  <c r="O108" i="26" s="1"/>
  <c r="O109" i="26" s="1"/>
  <c r="O110" i="26" s="1"/>
  <c r="O111" i="26" s="1"/>
  <c r="O112" i="26" s="1"/>
  <c r="O113" i="26" s="1"/>
  <c r="O114" i="26" s="1"/>
  <c r="O115" i="26" s="1"/>
  <c r="O116" i="26" s="1"/>
  <c r="O117" i="26" s="1"/>
  <c r="O118" i="26" s="1"/>
  <c r="O119" i="26" s="1"/>
  <c r="O120" i="26" s="1"/>
  <c r="O121" i="26" s="1"/>
  <c r="O122" i="26" s="1"/>
  <c r="O123" i="26" s="1"/>
  <c r="O124" i="26" s="1"/>
  <c r="O125" i="26" s="1"/>
  <c r="O126" i="26" s="1"/>
  <c r="O127" i="26" s="1"/>
  <c r="O128" i="26" s="1"/>
  <c r="O129" i="26" s="1"/>
  <c r="O130" i="26" s="1"/>
  <c r="O131" i="26" s="1"/>
  <c r="O132" i="26" s="1"/>
  <c r="O133" i="26" s="1"/>
  <c r="O134" i="26" s="1"/>
  <c r="O135" i="26" s="1"/>
  <c r="O136" i="26" s="1"/>
  <c r="O137" i="26" s="1"/>
  <c r="O138" i="26" s="1"/>
  <c r="O139" i="26" s="1"/>
  <c r="O140" i="26" s="1"/>
  <c r="O141" i="26" s="1"/>
  <c r="O142" i="26" s="1"/>
  <c r="O143" i="26" s="1"/>
  <c r="O144" i="26" s="1"/>
  <c r="O145" i="26" s="1"/>
  <c r="O146" i="26" s="1"/>
  <c r="O147" i="26" s="1"/>
  <c r="O148" i="26" s="1"/>
  <c r="O149" i="26" s="1"/>
  <c r="O150" i="26" s="1"/>
  <c r="O151" i="26" s="1"/>
  <c r="O152" i="26" s="1"/>
  <c r="O153" i="26" s="1"/>
  <c r="O154" i="26" s="1"/>
  <c r="O155" i="26" s="1"/>
  <c r="O156" i="26" s="1"/>
  <c r="O157" i="26" s="1"/>
  <c r="O158" i="26" s="1"/>
  <c r="O159" i="26" s="1"/>
  <c r="O160" i="26" s="1"/>
  <c r="O161" i="26" s="1"/>
  <c r="O162" i="26" s="1"/>
  <c r="O163" i="26" s="1"/>
  <c r="O164" i="26" s="1"/>
  <c r="O165" i="26" s="1"/>
  <c r="O166" i="26" s="1"/>
  <c r="O167" i="26" s="1"/>
  <c r="O168" i="26" s="1"/>
  <c r="O169" i="26" s="1"/>
  <c r="O170" i="26" s="1"/>
  <c r="O171" i="26" s="1"/>
  <c r="O172" i="26" s="1"/>
  <c r="O173" i="26" s="1"/>
  <c r="O174" i="26" s="1"/>
  <c r="O175" i="26" s="1"/>
  <c r="G7" i="26"/>
  <c r="G8" i="26" s="1"/>
  <c r="G9" i="26" s="1"/>
  <c r="G10" i="26" s="1"/>
  <c r="G11" i="26" s="1"/>
  <c r="G12" i="26" s="1"/>
  <c r="G13" i="26" s="1"/>
  <c r="G14" i="26" s="1"/>
  <c r="G15" i="26" s="1"/>
  <c r="G16" i="26" s="1"/>
  <c r="G17" i="26" s="1"/>
  <c r="G18" i="26" s="1"/>
  <c r="G19" i="26" s="1"/>
  <c r="G20" i="26" s="1"/>
  <c r="G21" i="26" s="1"/>
  <c r="G22" i="26" s="1"/>
  <c r="G23" i="26" s="1"/>
  <c r="G24" i="26" s="1"/>
  <c r="G25" i="26" s="1"/>
  <c r="G26" i="26" s="1"/>
  <c r="G27" i="26" s="1"/>
  <c r="G28" i="26" s="1"/>
  <c r="G29" i="26" s="1"/>
  <c r="G30" i="26" s="1"/>
  <c r="G31" i="26" s="1"/>
  <c r="G32" i="26" s="1"/>
  <c r="G33" i="26" s="1"/>
  <c r="G34" i="26" s="1"/>
  <c r="G35" i="26" s="1"/>
  <c r="G36" i="26" s="1"/>
  <c r="G37" i="26" s="1"/>
  <c r="G38" i="26" s="1"/>
  <c r="G39" i="26" s="1"/>
  <c r="G40" i="26" s="1"/>
  <c r="G41" i="26" s="1"/>
  <c r="G42" i="26" s="1"/>
  <c r="G43" i="26" s="1"/>
  <c r="G44" i="26" s="1"/>
  <c r="G45" i="26" s="1"/>
  <c r="G46" i="26" s="1"/>
  <c r="G47" i="26" s="1"/>
  <c r="G48" i="26" s="1"/>
  <c r="G49" i="26" s="1"/>
  <c r="G50" i="26" s="1"/>
  <c r="G51" i="26" s="1"/>
  <c r="G52" i="26" s="1"/>
  <c r="G53" i="26" s="1"/>
  <c r="G54" i="26" s="1"/>
  <c r="G55" i="26" s="1"/>
  <c r="G56" i="26" s="1"/>
  <c r="G57" i="26" s="1"/>
  <c r="G58" i="26" s="1"/>
  <c r="G59" i="26" s="1"/>
  <c r="G60" i="26" s="1"/>
  <c r="G61" i="26" s="1"/>
  <c r="G62" i="26" s="1"/>
  <c r="G63" i="26" s="1"/>
  <c r="G64" i="26" s="1"/>
  <c r="G65" i="26" s="1"/>
  <c r="G66" i="26" s="1"/>
  <c r="G67" i="26" s="1"/>
  <c r="G68" i="26" s="1"/>
  <c r="G69" i="26" s="1"/>
  <c r="G70" i="26" s="1"/>
  <c r="G71" i="26" s="1"/>
  <c r="G72" i="26" s="1"/>
  <c r="G73" i="26" s="1"/>
  <c r="G74" i="26" s="1"/>
  <c r="G75" i="26" s="1"/>
  <c r="G76" i="26" s="1"/>
  <c r="G77" i="26" s="1"/>
  <c r="G78" i="26" s="1"/>
  <c r="G79" i="26" s="1"/>
  <c r="G80" i="26" s="1"/>
  <c r="G81" i="26" s="1"/>
  <c r="G82" i="26" s="1"/>
  <c r="G83" i="26" s="1"/>
  <c r="G84" i="26" s="1"/>
  <c r="G85" i="26" s="1"/>
  <c r="G86" i="26" s="1"/>
  <c r="G87" i="26" s="1"/>
  <c r="G88" i="26" s="1"/>
  <c r="G89" i="26" s="1"/>
  <c r="G90" i="26" s="1"/>
  <c r="G91" i="26" s="1"/>
  <c r="G92" i="26" s="1"/>
  <c r="G93" i="26" s="1"/>
  <c r="G94" i="26" s="1"/>
  <c r="G95" i="26" s="1"/>
  <c r="G96" i="26" s="1"/>
  <c r="G97" i="26" s="1"/>
  <c r="G98" i="26" s="1"/>
  <c r="G99" i="26" s="1"/>
  <c r="G100" i="26" s="1"/>
  <c r="G101" i="26" s="1"/>
  <c r="G102" i="26" s="1"/>
  <c r="G103" i="26" s="1"/>
  <c r="G104" i="26" s="1"/>
  <c r="G105" i="26" s="1"/>
  <c r="G106" i="26" s="1"/>
  <c r="G107" i="26" s="1"/>
  <c r="G108" i="26" s="1"/>
  <c r="G109" i="26" s="1"/>
  <c r="G110" i="26" s="1"/>
  <c r="G111" i="26" s="1"/>
  <c r="G112" i="26" s="1"/>
  <c r="G113" i="26" s="1"/>
  <c r="G114" i="26" s="1"/>
  <c r="G115" i="26" s="1"/>
  <c r="G116" i="26" s="1"/>
  <c r="G117" i="26" s="1"/>
  <c r="G118" i="26" s="1"/>
  <c r="G119" i="26" s="1"/>
  <c r="G120" i="26" s="1"/>
  <c r="G121" i="26" s="1"/>
  <c r="G122" i="26" s="1"/>
  <c r="G123" i="26" s="1"/>
  <c r="G124" i="26" s="1"/>
  <c r="G125" i="26" s="1"/>
  <c r="G126" i="26" s="1"/>
  <c r="G127" i="26" s="1"/>
  <c r="G128" i="26" s="1"/>
  <c r="G129" i="26" s="1"/>
  <c r="G130" i="26" s="1"/>
  <c r="G131" i="26" s="1"/>
  <c r="G132" i="26" s="1"/>
  <c r="G133" i="26" s="1"/>
  <c r="G134" i="26" s="1"/>
  <c r="G135" i="26" s="1"/>
  <c r="G136" i="26" s="1"/>
  <c r="G137" i="26" s="1"/>
  <c r="G138" i="26" s="1"/>
  <c r="G139" i="26" s="1"/>
  <c r="G140" i="26" s="1"/>
  <c r="G141" i="26" s="1"/>
  <c r="G142" i="26" s="1"/>
  <c r="G143" i="26" s="1"/>
  <c r="G144" i="26" s="1"/>
  <c r="G145" i="26" s="1"/>
  <c r="G146" i="26" s="1"/>
  <c r="G147" i="26" s="1"/>
  <c r="G148" i="26" s="1"/>
  <c r="G149" i="26" s="1"/>
  <c r="G150" i="26" s="1"/>
  <c r="G151" i="26" s="1"/>
  <c r="G152" i="26" s="1"/>
  <c r="G153" i="26" s="1"/>
  <c r="G154" i="26" s="1"/>
  <c r="G155" i="26" s="1"/>
  <c r="G156" i="26" s="1"/>
  <c r="G157" i="26" s="1"/>
  <c r="G158" i="26" s="1"/>
  <c r="G159" i="26" s="1"/>
  <c r="G160" i="26" s="1"/>
  <c r="G161" i="26" s="1"/>
  <c r="G162" i="26" s="1"/>
  <c r="G163" i="26" s="1"/>
  <c r="G164" i="26" s="1"/>
  <c r="G165" i="26" s="1"/>
  <c r="G166" i="26" s="1"/>
  <c r="G167" i="26" s="1"/>
  <c r="G168" i="26" s="1"/>
  <c r="G169" i="26" s="1"/>
  <c r="G170" i="26" s="1"/>
  <c r="G171" i="26" s="1"/>
  <c r="G172" i="26" s="1"/>
  <c r="G173" i="26" s="1"/>
  <c r="G174" i="26" s="1"/>
  <c r="G175" i="26" s="1"/>
  <c r="F7" i="26"/>
  <c r="F8" i="26" s="1"/>
  <c r="F9" i="26" s="1"/>
  <c r="F10" i="26" s="1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F38" i="26" s="1"/>
  <c r="F39" i="26" s="1"/>
  <c r="F40" i="26" s="1"/>
  <c r="F41" i="26" s="1"/>
  <c r="F42" i="26" s="1"/>
  <c r="F43" i="26" s="1"/>
  <c r="F44" i="26" s="1"/>
  <c r="F45" i="26" s="1"/>
  <c r="F46" i="26" s="1"/>
  <c r="F47" i="26" s="1"/>
  <c r="F48" i="26" s="1"/>
  <c r="F49" i="26" s="1"/>
  <c r="F50" i="26" s="1"/>
  <c r="F51" i="26" s="1"/>
  <c r="F52" i="26" s="1"/>
  <c r="F53" i="26" s="1"/>
  <c r="F54" i="26" s="1"/>
  <c r="F55" i="26" s="1"/>
  <c r="F56" i="26" s="1"/>
  <c r="F57" i="26" s="1"/>
  <c r="F58" i="26" s="1"/>
  <c r="F59" i="26" s="1"/>
  <c r="F60" i="26" s="1"/>
  <c r="F61" i="26" s="1"/>
  <c r="F62" i="26" s="1"/>
  <c r="F63" i="26" s="1"/>
  <c r="F64" i="26" s="1"/>
  <c r="F65" i="26" s="1"/>
  <c r="F66" i="26" s="1"/>
  <c r="F67" i="26" s="1"/>
  <c r="F68" i="26" s="1"/>
  <c r="F69" i="26" s="1"/>
  <c r="F70" i="26" s="1"/>
  <c r="F71" i="26" s="1"/>
  <c r="F72" i="26" s="1"/>
  <c r="F73" i="26" s="1"/>
  <c r="F74" i="26" s="1"/>
  <c r="F75" i="26" s="1"/>
  <c r="F76" i="26" s="1"/>
  <c r="F77" i="26" s="1"/>
  <c r="F78" i="26" s="1"/>
  <c r="F79" i="26" s="1"/>
  <c r="F80" i="26" s="1"/>
  <c r="F81" i="26" s="1"/>
  <c r="F82" i="26" s="1"/>
  <c r="F83" i="26" s="1"/>
  <c r="F84" i="26" s="1"/>
  <c r="F85" i="26" s="1"/>
  <c r="F86" i="26" s="1"/>
  <c r="F87" i="26" s="1"/>
  <c r="F88" i="26" s="1"/>
  <c r="F89" i="26" s="1"/>
  <c r="F90" i="26" s="1"/>
  <c r="F91" i="26" s="1"/>
  <c r="F92" i="26" s="1"/>
  <c r="F93" i="26" s="1"/>
  <c r="F94" i="26" s="1"/>
  <c r="F95" i="26" s="1"/>
  <c r="F96" i="26" s="1"/>
  <c r="F97" i="26" s="1"/>
  <c r="F98" i="26" s="1"/>
  <c r="F99" i="26" s="1"/>
  <c r="F100" i="26" s="1"/>
  <c r="F101" i="26" s="1"/>
  <c r="F102" i="26" s="1"/>
  <c r="F103" i="26" s="1"/>
  <c r="F104" i="26" s="1"/>
  <c r="F105" i="26" s="1"/>
  <c r="F106" i="26" s="1"/>
  <c r="F107" i="26" s="1"/>
  <c r="F108" i="26" s="1"/>
  <c r="F109" i="26" s="1"/>
  <c r="F110" i="26" s="1"/>
  <c r="F111" i="26" s="1"/>
  <c r="F112" i="26" s="1"/>
  <c r="F113" i="26" s="1"/>
  <c r="F114" i="26" s="1"/>
  <c r="F115" i="26" s="1"/>
  <c r="F116" i="26" s="1"/>
  <c r="F117" i="26" s="1"/>
  <c r="F118" i="26" s="1"/>
  <c r="F119" i="26" s="1"/>
  <c r="F120" i="26" s="1"/>
  <c r="F121" i="26" s="1"/>
  <c r="F122" i="26" s="1"/>
  <c r="F123" i="26" s="1"/>
  <c r="F124" i="26" s="1"/>
  <c r="F125" i="26" s="1"/>
  <c r="F126" i="26" s="1"/>
  <c r="F127" i="26" s="1"/>
  <c r="F128" i="26" s="1"/>
  <c r="F129" i="26" s="1"/>
  <c r="F130" i="26" s="1"/>
  <c r="F131" i="26" s="1"/>
  <c r="F132" i="26" s="1"/>
  <c r="F133" i="26" s="1"/>
  <c r="F134" i="26" s="1"/>
  <c r="F135" i="26" s="1"/>
  <c r="F136" i="26" s="1"/>
  <c r="F137" i="26" s="1"/>
  <c r="F138" i="26" s="1"/>
  <c r="F139" i="26" s="1"/>
  <c r="F140" i="26" s="1"/>
  <c r="F141" i="26" s="1"/>
  <c r="F142" i="26" s="1"/>
  <c r="F143" i="26" s="1"/>
  <c r="F144" i="26" s="1"/>
  <c r="F145" i="26" s="1"/>
  <c r="F146" i="26" s="1"/>
  <c r="F147" i="26" s="1"/>
  <c r="F148" i="26" s="1"/>
  <c r="F149" i="26" s="1"/>
  <c r="F150" i="26" s="1"/>
  <c r="F151" i="26" s="1"/>
  <c r="F152" i="26" s="1"/>
  <c r="F153" i="26" s="1"/>
  <c r="F154" i="26" s="1"/>
  <c r="F155" i="26" s="1"/>
  <c r="F156" i="26" s="1"/>
  <c r="F157" i="26" s="1"/>
  <c r="F158" i="26" s="1"/>
  <c r="F159" i="26" s="1"/>
  <c r="F160" i="26" s="1"/>
  <c r="F161" i="26" s="1"/>
  <c r="F162" i="26" s="1"/>
  <c r="F163" i="26" s="1"/>
  <c r="F164" i="26" s="1"/>
  <c r="F165" i="26" s="1"/>
  <c r="F166" i="26" s="1"/>
  <c r="F167" i="26" s="1"/>
  <c r="F168" i="26" s="1"/>
  <c r="F169" i="26" s="1"/>
  <c r="F170" i="26" s="1"/>
  <c r="F171" i="26" s="1"/>
  <c r="F172" i="26" s="1"/>
  <c r="F173" i="26" s="1"/>
  <c r="F174" i="26" s="1"/>
  <c r="F175" i="26" s="1"/>
  <c r="E7" i="26"/>
  <c r="E8" i="26" s="1"/>
  <c r="E9" i="26" s="1"/>
  <c r="E10" i="26" s="1"/>
  <c r="E11" i="26" s="1"/>
  <c r="E12" i="26" s="1"/>
  <c r="E13" i="26" s="1"/>
  <c r="E14" i="26" s="1"/>
  <c r="E15" i="26" s="1"/>
  <c r="E16" i="26" s="1"/>
  <c r="E17" i="26" s="1"/>
  <c r="E18" i="26" s="1"/>
  <c r="E19" i="26" s="1"/>
  <c r="E20" i="26" s="1"/>
  <c r="E21" i="26" s="1"/>
  <c r="E22" i="26" s="1"/>
  <c r="E23" i="26" s="1"/>
  <c r="E24" i="26" s="1"/>
  <c r="E25" i="26" s="1"/>
  <c r="E26" i="26" s="1"/>
  <c r="E27" i="26" s="1"/>
  <c r="E28" i="26" s="1"/>
  <c r="E29" i="26" s="1"/>
  <c r="E30" i="26" s="1"/>
  <c r="E31" i="26" s="1"/>
  <c r="E32" i="26" s="1"/>
  <c r="E33" i="26" s="1"/>
  <c r="E34" i="26" s="1"/>
  <c r="E35" i="26" s="1"/>
  <c r="E36" i="26" s="1"/>
  <c r="E37" i="26" s="1"/>
  <c r="E38" i="26" s="1"/>
  <c r="E39" i="26" s="1"/>
  <c r="E40" i="26" s="1"/>
  <c r="E41" i="26" s="1"/>
  <c r="E42" i="26" s="1"/>
  <c r="E43" i="26" s="1"/>
  <c r="E44" i="26" s="1"/>
  <c r="E45" i="26" s="1"/>
  <c r="E46" i="26" s="1"/>
  <c r="E47" i="26" s="1"/>
  <c r="E48" i="26" s="1"/>
  <c r="E49" i="26" s="1"/>
  <c r="E50" i="26" s="1"/>
  <c r="E51" i="26" s="1"/>
  <c r="E52" i="26" s="1"/>
  <c r="E53" i="26" s="1"/>
  <c r="E54" i="26" s="1"/>
  <c r="E55" i="26" s="1"/>
  <c r="E56" i="26" s="1"/>
  <c r="E57" i="26" s="1"/>
  <c r="E58" i="26" s="1"/>
  <c r="E59" i="26" s="1"/>
  <c r="E60" i="26" s="1"/>
  <c r="E61" i="26" s="1"/>
  <c r="E62" i="26" s="1"/>
  <c r="E63" i="26" s="1"/>
  <c r="E64" i="26" s="1"/>
  <c r="E65" i="26" s="1"/>
  <c r="E66" i="26" s="1"/>
  <c r="E67" i="26" s="1"/>
  <c r="E68" i="26" s="1"/>
  <c r="E69" i="26" s="1"/>
  <c r="E70" i="26" s="1"/>
  <c r="E71" i="26" s="1"/>
  <c r="E72" i="26" s="1"/>
  <c r="E73" i="26" s="1"/>
  <c r="E74" i="26" s="1"/>
  <c r="E75" i="26" s="1"/>
  <c r="E76" i="26" s="1"/>
  <c r="E77" i="26" s="1"/>
  <c r="E78" i="26" s="1"/>
  <c r="E79" i="26" s="1"/>
  <c r="E80" i="26" s="1"/>
  <c r="E81" i="26" s="1"/>
  <c r="E82" i="26" s="1"/>
  <c r="E83" i="26" s="1"/>
  <c r="E84" i="26" s="1"/>
  <c r="E85" i="26" s="1"/>
  <c r="E86" i="26" s="1"/>
  <c r="E87" i="26" s="1"/>
  <c r="E88" i="26" s="1"/>
  <c r="E89" i="26" s="1"/>
  <c r="E90" i="26" s="1"/>
  <c r="E91" i="26" s="1"/>
  <c r="E92" i="26" s="1"/>
  <c r="E93" i="26" s="1"/>
  <c r="E94" i="26" s="1"/>
  <c r="E95" i="26" s="1"/>
  <c r="E96" i="26" s="1"/>
  <c r="E97" i="26" s="1"/>
  <c r="E98" i="26" s="1"/>
  <c r="E99" i="26" s="1"/>
  <c r="E100" i="26" s="1"/>
  <c r="E101" i="26" s="1"/>
  <c r="E102" i="26" s="1"/>
  <c r="E103" i="26" s="1"/>
  <c r="E104" i="26" s="1"/>
  <c r="E105" i="26" s="1"/>
  <c r="E106" i="26" s="1"/>
  <c r="E107" i="26" s="1"/>
  <c r="E108" i="26" s="1"/>
  <c r="E109" i="26" s="1"/>
  <c r="E110" i="26" s="1"/>
  <c r="E111" i="26" s="1"/>
  <c r="E112" i="26" s="1"/>
  <c r="E113" i="26" s="1"/>
  <c r="E114" i="26" s="1"/>
  <c r="E115" i="26" s="1"/>
  <c r="E116" i="26" s="1"/>
  <c r="E117" i="26" s="1"/>
  <c r="E118" i="26" s="1"/>
  <c r="E119" i="26" s="1"/>
  <c r="E120" i="26" s="1"/>
  <c r="E121" i="26" s="1"/>
  <c r="E122" i="26" s="1"/>
  <c r="E123" i="26" s="1"/>
  <c r="E124" i="26" s="1"/>
  <c r="E125" i="26" s="1"/>
  <c r="E126" i="26" s="1"/>
  <c r="E127" i="26" s="1"/>
  <c r="E128" i="26" s="1"/>
  <c r="E129" i="26" s="1"/>
  <c r="E130" i="26" s="1"/>
  <c r="E131" i="26" s="1"/>
  <c r="E132" i="26" s="1"/>
  <c r="E133" i="26" s="1"/>
  <c r="E134" i="26" s="1"/>
  <c r="E135" i="26" s="1"/>
  <c r="E136" i="26" s="1"/>
  <c r="E137" i="26" s="1"/>
  <c r="E138" i="26" s="1"/>
  <c r="E139" i="26" s="1"/>
  <c r="E140" i="26" s="1"/>
  <c r="E141" i="26" s="1"/>
  <c r="E142" i="26" s="1"/>
  <c r="E143" i="26" s="1"/>
  <c r="E144" i="26" s="1"/>
  <c r="E145" i="26" s="1"/>
  <c r="E146" i="26" s="1"/>
  <c r="E147" i="26" s="1"/>
  <c r="E148" i="26" s="1"/>
  <c r="E149" i="26" s="1"/>
  <c r="E150" i="26" s="1"/>
  <c r="E151" i="26" s="1"/>
  <c r="E152" i="26" s="1"/>
  <c r="E153" i="26" s="1"/>
  <c r="E154" i="26" s="1"/>
  <c r="E155" i="26" s="1"/>
  <c r="E156" i="26" s="1"/>
  <c r="E157" i="26" s="1"/>
  <c r="E158" i="26" s="1"/>
  <c r="E159" i="26" s="1"/>
  <c r="E160" i="26" s="1"/>
  <c r="E161" i="26" s="1"/>
  <c r="E162" i="26" s="1"/>
  <c r="E163" i="26" s="1"/>
  <c r="E164" i="26" s="1"/>
  <c r="E165" i="26" s="1"/>
  <c r="E166" i="26" s="1"/>
  <c r="E167" i="26" s="1"/>
  <c r="E168" i="26" s="1"/>
  <c r="E169" i="26" s="1"/>
  <c r="E170" i="26" s="1"/>
  <c r="E171" i="26" s="1"/>
  <c r="E172" i="26" s="1"/>
  <c r="E173" i="26" s="1"/>
  <c r="E174" i="26" s="1"/>
  <c r="E175" i="26" s="1"/>
  <c r="L3" i="30"/>
  <c r="L4" i="30"/>
  <c r="L3" i="28"/>
  <c r="L8" i="25"/>
  <c r="L4" i="29"/>
  <c r="L3" i="29"/>
  <c r="L2" i="29"/>
  <c r="L4" i="28"/>
  <c r="H8" i="25"/>
  <c r="C8" i="25"/>
  <c r="J145" i="25"/>
  <c r="I145" i="25"/>
  <c r="J68" i="25"/>
  <c r="J46" i="25"/>
  <c r="O5" i="24"/>
  <c r="M19" i="24" s="1"/>
  <c r="O4" i="24"/>
  <c r="O3" i="24"/>
  <c r="B9" i="19"/>
  <c r="H22" i="19" s="1"/>
  <c r="B10" i="19"/>
  <c r="L7" i="25"/>
  <c r="L2" i="30"/>
  <c r="O3" i="32"/>
  <c r="O131" i="31"/>
  <c r="Q131" i="31" s="1"/>
  <c r="S131" i="31" s="1"/>
  <c r="L19" i="25"/>
  <c r="H18" i="19" l="1"/>
  <c r="I18" i="19" s="1"/>
  <c r="H23" i="19"/>
  <c r="M11" i="24"/>
  <c r="P11" i="24" s="1"/>
  <c r="M18" i="24"/>
  <c r="O183" i="31"/>
  <c r="S183" i="31"/>
  <c r="O46" i="31"/>
  <c r="Q46" i="31" s="1"/>
  <c r="S46" i="31" s="1"/>
  <c r="U46" i="31" s="1"/>
  <c r="O65" i="31"/>
  <c r="O132" i="31"/>
  <c r="Q132" i="31" s="1"/>
  <c r="S132" i="31" s="1"/>
  <c r="O31" i="31"/>
  <c r="O43" i="31"/>
  <c r="O41" i="31"/>
  <c r="O38" i="31"/>
  <c r="O36" i="31"/>
  <c r="O34" i="31"/>
  <c r="O13" i="31"/>
  <c r="O29" i="31"/>
  <c r="O27" i="31"/>
  <c r="O22" i="31"/>
  <c r="O20" i="31"/>
  <c r="O18" i="31"/>
  <c r="O16" i="31"/>
  <c r="O251" i="31"/>
  <c r="O227" i="31"/>
  <c r="O188" i="31"/>
  <c r="O45" i="31"/>
  <c r="O42" i="31"/>
  <c r="O40" i="31"/>
  <c r="O37" i="31"/>
  <c r="O35" i="31"/>
  <c r="O32" i="31"/>
  <c r="O14" i="31"/>
  <c r="O28" i="31"/>
  <c r="O25" i="31"/>
  <c r="O21" i="31"/>
  <c r="O19" i="31"/>
  <c r="O17" i="31"/>
  <c r="O15" i="31"/>
  <c r="O212" i="31"/>
  <c r="O237" i="31"/>
  <c r="O225" i="31"/>
  <c r="O198" i="31"/>
  <c r="O186" i="31"/>
  <c r="O30" i="31"/>
  <c r="O107" i="31"/>
  <c r="S107" i="31"/>
  <c r="O48" i="31"/>
  <c r="S48" i="31"/>
  <c r="O49" i="31"/>
  <c r="S49" i="31"/>
  <c r="S28" i="31"/>
  <c r="S25" i="31"/>
  <c r="S27" i="31"/>
  <c r="S23" i="31"/>
  <c r="U23" i="31" s="1"/>
  <c r="L41" i="25"/>
  <c r="L49" i="25"/>
  <c r="L88" i="25"/>
  <c r="L40" i="25"/>
  <c r="L43" i="25"/>
  <c r="L96" i="25"/>
  <c r="L97" i="25"/>
  <c r="H19" i="19"/>
  <c r="I19" i="19" s="1"/>
  <c r="H20" i="19"/>
  <c r="H21" i="19"/>
  <c r="O3" i="31"/>
  <c r="O229" i="31" s="1"/>
  <c r="K155" i="5"/>
  <c r="M155" i="5" s="1"/>
  <c r="L78" i="25"/>
  <c r="L33" i="25"/>
  <c r="L52" i="25"/>
  <c r="N52" i="25" s="1"/>
  <c r="L31" i="25"/>
  <c r="L57" i="25"/>
  <c r="N57" i="25" s="1"/>
  <c r="O129" i="31"/>
  <c r="Q129" i="31" s="1"/>
  <c r="S129" i="31" s="1"/>
  <c r="L142" i="25"/>
  <c r="N142" i="25" s="1"/>
  <c r="L68" i="25"/>
  <c r="N68" i="25" s="1"/>
  <c r="L27" i="25"/>
  <c r="L46" i="25"/>
  <c r="N46" i="25" s="1"/>
  <c r="L50" i="25"/>
  <c r="N50" i="25" s="1"/>
  <c r="L61" i="25"/>
  <c r="N61" i="25" s="1"/>
  <c r="L141" i="25"/>
  <c r="N141" i="25" s="1"/>
  <c r="L143" i="25"/>
  <c r="L55" i="25"/>
  <c r="N55" i="25" s="1"/>
  <c r="L23" i="25"/>
  <c r="L145" i="25"/>
  <c r="N145" i="25" s="1"/>
  <c r="L59" i="25"/>
  <c r="N59" i="25" s="1"/>
  <c r="L54" i="25"/>
  <c r="L20" i="25"/>
  <c r="L24" i="25"/>
  <c r="L28" i="25"/>
  <c r="L66" i="25"/>
  <c r="N66" i="25" s="1"/>
  <c r="L137" i="25"/>
  <c r="N137" i="25" s="1"/>
  <c r="L63" i="25"/>
  <c r="L64" i="25"/>
  <c r="N64" i="25" s="1"/>
  <c r="L38" i="25"/>
  <c r="N38" i="25" s="1"/>
  <c r="L37" i="25"/>
  <c r="L48" i="25"/>
  <c r="N48" i="25" s="1"/>
  <c r="L147" i="25"/>
  <c r="N147" i="25" s="1"/>
  <c r="O84" i="31"/>
  <c r="Q84" i="31" s="1"/>
  <c r="S84" i="31" s="1"/>
  <c r="L136" i="25"/>
  <c r="L32" i="25"/>
  <c r="L42" i="25"/>
  <c r="O36" i="32"/>
  <c r="K151" i="5"/>
  <c r="K143" i="5"/>
  <c r="M143" i="5" s="1"/>
  <c r="S126" i="31"/>
  <c r="U126" i="31" s="1"/>
  <c r="L149" i="25"/>
  <c r="N149" i="25" s="1"/>
  <c r="S116" i="31"/>
  <c r="U116" i="31" s="1"/>
  <c r="L62" i="25"/>
  <c r="N62" i="25" s="1"/>
  <c r="O135" i="31"/>
  <c r="L135" i="25"/>
  <c r="L44" i="25"/>
  <c r="S239" i="31"/>
  <c r="U239" i="31" s="1"/>
  <c r="S248" i="31"/>
  <c r="U248" i="31" s="1"/>
  <c r="O127" i="31"/>
  <c r="Q127" i="31" s="1"/>
  <c r="S127" i="31" s="1"/>
  <c r="U127" i="31" s="1"/>
  <c r="O130" i="31"/>
  <c r="Q130" i="31" s="1"/>
  <c r="S130" i="31" s="1"/>
  <c r="O128" i="31"/>
  <c r="Q128" i="31" s="1"/>
  <c r="S128" i="31" s="1"/>
  <c r="U128" i="31" s="1"/>
  <c r="O105" i="31"/>
  <c r="Q105" i="31" s="1"/>
  <c r="S105" i="31" s="1"/>
  <c r="O124" i="31"/>
  <c r="Q124" i="31" s="1"/>
  <c r="S124" i="31" s="1"/>
  <c r="Q31" i="31"/>
  <c r="S31" i="31" s="1"/>
  <c r="M10" i="24"/>
  <c r="P10" i="24" s="1"/>
  <c r="M12" i="24"/>
  <c r="P12" i="24" s="1"/>
  <c r="S26" i="32"/>
  <c r="M13" i="24"/>
  <c r="P13" i="24" s="1"/>
  <c r="L151" i="25"/>
  <c r="N151" i="25" s="1"/>
  <c r="L155" i="25"/>
  <c r="N155" i="25" s="1"/>
  <c r="S115" i="31"/>
  <c r="U115" i="31" s="1"/>
  <c r="S44" i="31"/>
  <c r="U44" i="31" s="1"/>
  <c r="O238" i="31"/>
  <c r="S241" i="31"/>
  <c r="U241" i="31" s="1"/>
  <c r="O113" i="31"/>
  <c r="Q113" i="31" s="1"/>
  <c r="S113" i="31" s="1"/>
  <c r="U113" i="31" s="1"/>
  <c r="O95" i="31"/>
  <c r="Q95" i="31" s="1"/>
  <c r="S95" i="31" s="1"/>
  <c r="U95" i="31" s="1"/>
  <c r="Q37" i="32"/>
  <c r="S29" i="32"/>
  <c r="U29" i="32" s="1"/>
  <c r="O241" i="31"/>
  <c r="O99" i="31"/>
  <c r="Q99" i="31" s="1"/>
  <c r="S99" i="31" s="1"/>
  <c r="U99" i="31" s="1"/>
  <c r="O142" i="31"/>
  <c r="S13" i="32"/>
  <c r="O239" i="31"/>
  <c r="L26" i="25"/>
  <c r="O176" i="31"/>
  <c r="Q176" i="31" s="1"/>
  <c r="S176" i="31" s="1"/>
  <c r="O75" i="31"/>
  <c r="Q75" i="31" s="1"/>
  <c r="S75" i="31" s="1"/>
  <c r="U75" i="31" s="1"/>
  <c r="S135" i="31"/>
  <c r="U135" i="31" s="1"/>
  <c r="L148" i="25"/>
  <c r="N148" i="25" s="1"/>
  <c r="S240" i="31"/>
  <c r="U240" i="31" s="1"/>
  <c r="S33" i="32"/>
  <c r="S199" i="31"/>
  <c r="U199" i="31" s="1"/>
  <c r="S246" i="31"/>
  <c r="U246" i="31" s="1"/>
  <c r="O79" i="31"/>
  <c r="Q79" i="31" s="1"/>
  <c r="S79" i="31" s="1"/>
  <c r="U79" i="31" s="1"/>
  <c r="O93" i="31"/>
  <c r="Q93" i="31" s="1"/>
  <c r="S93" i="31" s="1"/>
  <c r="U93" i="31" s="1"/>
  <c r="L39" i="25"/>
  <c r="N39" i="25" s="1"/>
  <c r="S18" i="32"/>
  <c r="O240" i="31"/>
  <c r="O200" i="31"/>
  <c r="H7" i="25"/>
  <c r="S38" i="31"/>
  <c r="S134" i="31"/>
  <c r="U134" i="31" s="1"/>
  <c r="S18" i="31"/>
  <c r="U18" i="31" s="1"/>
  <c r="S251" i="31"/>
  <c r="U251" i="31" s="1"/>
  <c r="L65" i="25"/>
  <c r="N65" i="25" s="1"/>
  <c r="L25" i="25"/>
  <c r="L70" i="25"/>
  <c r="S32" i="31"/>
  <c r="S29" i="31"/>
  <c r="L21" i="25"/>
  <c r="S212" i="31"/>
  <c r="L58" i="25"/>
  <c r="N58" i="25" s="1"/>
  <c r="L30" i="25"/>
  <c r="N49" i="25"/>
  <c r="L72" i="25"/>
  <c r="N72" i="25" s="1"/>
  <c r="L83" i="25"/>
  <c r="N83" i="25" s="1"/>
  <c r="S40" i="31"/>
  <c r="S159" i="31"/>
  <c r="U159" i="31" s="1"/>
  <c r="S198" i="31"/>
  <c r="U198" i="31" s="1"/>
  <c r="S175" i="31"/>
  <c r="U175" i="31" s="1"/>
  <c r="S45" i="31"/>
  <c r="U45" i="31" s="1"/>
  <c r="S33" i="31"/>
  <c r="U33" i="31" s="1"/>
  <c r="S172" i="31"/>
  <c r="U172" i="31" s="1"/>
  <c r="S136" i="31"/>
  <c r="U136" i="31" s="1"/>
  <c r="S21" i="31"/>
  <c r="L34" i="25"/>
  <c r="L60" i="25"/>
  <c r="N60" i="25" s="1"/>
  <c r="S22" i="31"/>
  <c r="S19" i="31"/>
  <c r="U19" i="31" s="1"/>
  <c r="S186" i="31"/>
  <c r="S39" i="31"/>
  <c r="U39" i="31" s="1"/>
  <c r="O60" i="31"/>
  <c r="Q60" i="31" s="1"/>
  <c r="S60" i="31" s="1"/>
  <c r="O122" i="31"/>
  <c r="Q122" i="31" s="1"/>
  <c r="S122" i="31" s="1"/>
  <c r="O156" i="31"/>
  <c r="O98" i="31"/>
  <c r="Q98" i="31" s="1"/>
  <c r="S98" i="31" s="1"/>
  <c r="U98" i="31" s="1"/>
  <c r="O54" i="31"/>
  <c r="Q54" i="31" s="1"/>
  <c r="S54" i="31" s="1"/>
  <c r="U54" i="31" s="1"/>
  <c r="O146" i="31"/>
  <c r="Q146" i="31" s="1"/>
  <c r="S146" i="31" s="1"/>
  <c r="U146" i="31" s="1"/>
  <c r="O67" i="31"/>
  <c r="Q67" i="31" s="1"/>
  <c r="S67" i="31" s="1"/>
  <c r="U67" i="31" s="1"/>
  <c r="O53" i="31"/>
  <c r="Q53" i="31" s="1"/>
  <c r="S53" i="31" s="1"/>
  <c r="U53" i="31" s="1"/>
  <c r="O179" i="31"/>
  <c r="Q179" i="31" s="1"/>
  <c r="S179" i="31" s="1"/>
  <c r="O121" i="31"/>
  <c r="Q121" i="31" s="1"/>
  <c r="S121" i="31" s="1"/>
  <c r="U121" i="31" s="1"/>
  <c r="S52" i="31"/>
  <c r="U52" i="31" s="1"/>
  <c r="S108" i="31"/>
  <c r="U108" i="31" s="1"/>
  <c r="O114" i="31"/>
  <c r="Q114" i="31" s="1"/>
  <c r="S114" i="31" s="1"/>
  <c r="S158" i="31"/>
  <c r="U158" i="31" s="1"/>
  <c r="O63" i="31"/>
  <c r="Q63" i="31" s="1"/>
  <c r="S63" i="31" s="1"/>
  <c r="U63" i="31" s="1"/>
  <c r="O111" i="31"/>
  <c r="Q111" i="31" s="1"/>
  <c r="S111" i="31" s="1"/>
  <c r="U111" i="31" s="1"/>
  <c r="O112" i="31"/>
  <c r="Q112" i="31" s="1"/>
  <c r="S112" i="31" s="1"/>
  <c r="U112" i="31" s="1"/>
  <c r="O101" i="31"/>
  <c r="Q101" i="31" s="1"/>
  <c r="S101" i="31" s="1"/>
  <c r="U101" i="31" s="1"/>
  <c r="O150" i="31"/>
  <c r="Q150" i="31" s="1"/>
  <c r="S150" i="31" s="1"/>
  <c r="O70" i="31"/>
  <c r="Q70" i="31" s="1"/>
  <c r="S70" i="31" s="1"/>
  <c r="O76" i="31"/>
  <c r="Q76" i="31" s="1"/>
  <c r="S76" i="31" s="1"/>
  <c r="U76" i="31" s="1"/>
  <c r="O82" i="31"/>
  <c r="O87" i="31"/>
  <c r="Q87" i="31" s="1"/>
  <c r="S87" i="31" s="1"/>
  <c r="S142" i="31"/>
  <c r="U142" i="31" s="1"/>
  <c r="O153" i="31"/>
  <c r="Q153" i="31" s="1"/>
  <c r="S153" i="31" s="1"/>
  <c r="O171" i="31"/>
  <c r="S238" i="31"/>
  <c r="U238" i="31" s="1"/>
  <c r="O246" i="31"/>
  <c r="O209" i="31"/>
  <c r="S201" i="31"/>
  <c r="U201" i="31" s="1"/>
  <c r="O207" i="31"/>
  <c r="S207" i="31"/>
  <c r="U207" i="31" s="1"/>
  <c r="S202" i="31"/>
  <c r="U202" i="31" s="1"/>
  <c r="S209" i="31"/>
  <c r="U209" i="31" s="1"/>
  <c r="O202" i="31"/>
  <c r="S200" i="31"/>
  <c r="U200" i="31" s="1"/>
  <c r="O201" i="31"/>
  <c r="O173" i="31"/>
  <c r="Q173" i="31" s="1"/>
  <c r="S173" i="31" s="1"/>
  <c r="O91" i="31"/>
  <c r="Q91" i="31" s="1"/>
  <c r="S91" i="31" s="1"/>
  <c r="O90" i="31"/>
  <c r="Q90" i="31" s="1"/>
  <c r="S90" i="31" s="1"/>
  <c r="O92" i="31"/>
  <c r="Q92" i="31" s="1"/>
  <c r="S92" i="31" s="1"/>
  <c r="U92" i="31" s="1"/>
  <c r="O137" i="31"/>
  <c r="Q137" i="31" s="1"/>
  <c r="S137" i="31" s="1"/>
  <c r="S174" i="31"/>
  <c r="U174" i="31" s="1"/>
  <c r="S156" i="31"/>
  <c r="O104" i="31"/>
  <c r="Q104" i="31" s="1"/>
  <c r="S104" i="31" s="1"/>
  <c r="O170" i="31"/>
  <c r="Q170" i="31" s="1"/>
  <c r="S170" i="31" s="1"/>
  <c r="O59" i="31"/>
  <c r="Q59" i="31" s="1"/>
  <c r="S59" i="31" s="1"/>
  <c r="O56" i="31"/>
  <c r="Q56" i="31" s="1"/>
  <c r="S56" i="31" s="1"/>
  <c r="O149" i="31"/>
  <c r="Q149" i="31" s="1"/>
  <c r="S149" i="31" s="1"/>
  <c r="O167" i="31"/>
  <c r="Q167" i="31" s="1"/>
  <c r="S167" i="31" s="1"/>
  <c r="O69" i="31"/>
  <c r="Q69" i="31" s="1"/>
  <c r="S69" i="31" s="1"/>
  <c r="O182" i="31"/>
  <c r="Q182" i="31" s="1"/>
  <c r="S182" i="31" s="1"/>
  <c r="U182" i="31" s="1"/>
  <c r="O174" i="31"/>
  <c r="O163" i="31"/>
  <c r="Q163" i="31" s="1"/>
  <c r="S163" i="31" s="1"/>
  <c r="U163" i="31" s="1"/>
  <c r="O89" i="31"/>
  <c r="Q89" i="31" s="1"/>
  <c r="S89" i="31" s="1"/>
  <c r="O154" i="31"/>
  <c r="Q154" i="31" s="1"/>
  <c r="S154" i="31" s="1"/>
  <c r="U154" i="31" s="1"/>
  <c r="O162" i="31"/>
  <c r="Q162" i="31" s="1"/>
  <c r="S162" i="31" s="1"/>
  <c r="U162" i="31" s="1"/>
  <c r="O180" i="31"/>
  <c r="Q180" i="31" s="1"/>
  <c r="S180" i="31" s="1"/>
  <c r="O166" i="31"/>
  <c r="O83" i="31"/>
  <c r="Q83" i="31" s="1"/>
  <c r="S83" i="31" s="1"/>
  <c r="O110" i="31"/>
  <c r="Q110" i="31" s="1"/>
  <c r="S110" i="31" s="1"/>
  <c r="U110" i="31" s="1"/>
  <c r="O64" i="31"/>
  <c r="Q64" i="31" s="1"/>
  <c r="S64" i="31" s="1"/>
  <c r="U64" i="31" s="1"/>
  <c r="O168" i="31"/>
  <c r="O125" i="31"/>
  <c r="O119" i="31"/>
  <c r="Q119" i="31" s="1"/>
  <c r="S119" i="31" s="1"/>
  <c r="U119" i="31" s="1"/>
  <c r="O161" i="31"/>
  <c r="Q161" i="31" s="1"/>
  <c r="S161" i="31" s="1"/>
  <c r="U161" i="31" s="1"/>
  <c r="O78" i="31"/>
  <c r="Q78" i="31" s="1"/>
  <c r="S78" i="31" s="1"/>
  <c r="U78" i="31" s="1"/>
  <c r="S168" i="31"/>
  <c r="U168" i="31" s="1"/>
  <c r="O181" i="31"/>
  <c r="Q181" i="31" s="1"/>
  <c r="S181" i="31" s="1"/>
  <c r="U181" i="31" s="1"/>
  <c r="O97" i="31"/>
  <c r="Q97" i="31" s="1"/>
  <c r="S97" i="31" s="1"/>
  <c r="U97" i="31" s="1"/>
  <c r="O106" i="31"/>
  <c r="Q106" i="31" s="1"/>
  <c r="S106" i="31" s="1"/>
  <c r="U106" i="31" s="1"/>
  <c r="O71" i="31"/>
  <c r="Q71" i="31" s="1"/>
  <c r="S71" i="31" s="1"/>
  <c r="O102" i="31"/>
  <c r="Q102" i="31" s="1"/>
  <c r="S102" i="31" s="1"/>
  <c r="U102" i="31" s="1"/>
  <c r="O230" i="31"/>
  <c r="O164" i="31"/>
  <c r="Q164" i="31" s="1"/>
  <c r="S164" i="31" s="1"/>
  <c r="U164" i="31" s="1"/>
  <c r="S261" i="31"/>
  <c r="O224" i="31"/>
  <c r="O72" i="31"/>
  <c r="Q72" i="31" s="1"/>
  <c r="S72" i="31" s="1"/>
  <c r="O147" i="31"/>
  <c r="Q147" i="31" s="1"/>
  <c r="S147" i="31" s="1"/>
  <c r="U147" i="31" s="1"/>
  <c r="O117" i="31"/>
  <c r="Q117" i="31" s="1"/>
  <c r="S117" i="31" s="1"/>
  <c r="U117" i="31" s="1"/>
  <c r="I3" i="31"/>
  <c r="O58" i="31"/>
  <c r="Q58" i="31" s="1"/>
  <c r="S58" i="31" s="1"/>
  <c r="O108" i="31"/>
  <c r="S171" i="31"/>
  <c r="U171" i="31" s="1"/>
  <c r="O155" i="31"/>
  <c r="Q155" i="31" s="1"/>
  <c r="S155" i="31" s="1"/>
  <c r="U155" i="31" s="1"/>
  <c r="O68" i="31"/>
  <c r="Q68" i="31" s="1"/>
  <c r="S68" i="31" s="1"/>
  <c r="U68" i="31" s="1"/>
  <c r="O118" i="31"/>
  <c r="Q118" i="31" s="1"/>
  <c r="S118" i="31" s="1"/>
  <c r="U118" i="31" s="1"/>
  <c r="O77" i="31"/>
  <c r="Q77" i="31" s="1"/>
  <c r="S77" i="31" s="1"/>
  <c r="U77" i="31" s="1"/>
  <c r="O115" i="31"/>
  <c r="O88" i="31"/>
  <c r="Q88" i="31" s="1"/>
  <c r="S88" i="31" s="1"/>
  <c r="O66" i="31"/>
  <c r="Q66" i="31" s="1"/>
  <c r="S66" i="31" s="1"/>
  <c r="U66" i="31" s="1"/>
  <c r="O52" i="31"/>
  <c r="O123" i="31"/>
  <c r="Q123" i="31" s="1"/>
  <c r="S123" i="31" s="1"/>
  <c r="O103" i="31"/>
  <c r="Q103" i="31" s="1"/>
  <c r="S103" i="31" s="1"/>
  <c r="U103" i="31" s="1"/>
  <c r="S236" i="31"/>
  <c r="U236" i="31" s="1"/>
  <c r="L2" i="28"/>
  <c r="O61" i="31"/>
  <c r="Q61" i="31" s="1"/>
  <c r="S61" i="31" s="1"/>
  <c r="O57" i="31"/>
  <c r="Q57" i="31" s="1"/>
  <c r="S57" i="31" s="1"/>
  <c r="O140" i="31"/>
  <c r="Q140" i="31" s="1"/>
  <c r="S140" i="31" s="1"/>
  <c r="S109" i="31"/>
  <c r="O80" i="31"/>
  <c r="Q80" i="31" s="1"/>
  <c r="S80" i="31" s="1"/>
  <c r="U80" i="31" s="1"/>
  <c r="O158" i="31"/>
  <c r="O120" i="31"/>
  <c r="Q120" i="31" s="1"/>
  <c r="S120" i="31" s="1"/>
  <c r="U120" i="31" s="1"/>
  <c r="S177" i="31"/>
  <c r="U177" i="31" s="1"/>
  <c r="O145" i="31"/>
  <c r="Q145" i="31" s="1"/>
  <c r="S145" i="31" s="1"/>
  <c r="U145" i="31" s="1"/>
  <c r="O47" i="31"/>
  <c r="Q47" i="31" s="1"/>
  <c r="S47" i="31" s="1"/>
  <c r="U47" i="31" s="1"/>
  <c r="O100" i="31"/>
  <c r="Q100" i="31" s="1"/>
  <c r="S100" i="31" s="1"/>
  <c r="U100" i="31" s="1"/>
  <c r="O62" i="31"/>
  <c r="Q62" i="31" s="1"/>
  <c r="S62" i="31" s="1"/>
  <c r="U62" i="31" s="1"/>
  <c r="O144" i="31"/>
  <c r="Q144" i="31" s="1"/>
  <c r="S144" i="31" s="1"/>
  <c r="U144" i="31" s="1"/>
  <c r="O141" i="31"/>
  <c r="Q141" i="31" s="1"/>
  <c r="S141" i="31" s="1"/>
  <c r="U141" i="31" s="1"/>
  <c r="O177" i="31"/>
  <c r="S125" i="31"/>
  <c r="U125" i="31" s="1"/>
  <c r="O185" i="31"/>
  <c r="O109" i="31"/>
  <c r="O152" i="31"/>
  <c r="Q152" i="31" s="1"/>
  <c r="S152" i="31" s="1"/>
  <c r="O55" i="31"/>
  <c r="O139" i="31"/>
  <c r="Q139" i="31" s="1"/>
  <c r="S139" i="31" s="1"/>
  <c r="U139" i="31" s="1"/>
  <c r="O85" i="31"/>
  <c r="Q85" i="31" s="1"/>
  <c r="S85" i="31" s="1"/>
  <c r="O160" i="31"/>
  <c r="Q160" i="31" s="1"/>
  <c r="S160" i="31" s="1"/>
  <c r="U160" i="31" s="1"/>
  <c r="O165" i="31"/>
  <c r="O138" i="31"/>
  <c r="Q138" i="31" s="1"/>
  <c r="S138" i="31" s="1"/>
  <c r="U138" i="31" s="1"/>
  <c r="O148" i="31"/>
  <c r="Q148" i="31" s="1"/>
  <c r="S148" i="31" s="1"/>
  <c r="U148" i="31" s="1"/>
  <c r="S257" i="31"/>
  <c r="U257" i="31" s="1"/>
  <c r="O74" i="31"/>
  <c r="Q74" i="31" s="1"/>
  <c r="S74" i="31" s="1"/>
  <c r="O94" i="31"/>
  <c r="Q94" i="31" s="1"/>
  <c r="S94" i="31" s="1"/>
  <c r="U94" i="31" s="1"/>
  <c r="O81" i="31"/>
  <c r="Q81" i="31" s="1"/>
  <c r="S81" i="31" s="1"/>
  <c r="U81" i="31" s="1"/>
  <c r="O73" i="31"/>
  <c r="Q73" i="31" s="1"/>
  <c r="S73" i="31" s="1"/>
  <c r="O151" i="31"/>
  <c r="O86" i="31"/>
  <c r="Q86" i="31" s="1"/>
  <c r="S86" i="31" s="1"/>
  <c r="O133" i="31"/>
  <c r="Q133" i="31" s="1"/>
  <c r="S133" i="31" s="1"/>
  <c r="U133" i="31" s="1"/>
  <c r="O96" i="31"/>
  <c r="Q96" i="31" s="1"/>
  <c r="S96" i="31" s="1"/>
  <c r="U96" i="31" s="1"/>
  <c r="H17" i="19"/>
  <c r="I17" i="19" s="1"/>
  <c r="S20" i="32"/>
  <c r="S12" i="32"/>
  <c r="H16" i="19"/>
  <c r="I16" i="19" s="1"/>
  <c r="S17" i="32"/>
  <c r="S15" i="32"/>
  <c r="S34" i="32"/>
  <c r="S31" i="32"/>
  <c r="L154" i="25"/>
  <c r="N154" i="25" s="1"/>
  <c r="S36" i="31"/>
  <c r="S169" i="31"/>
  <c r="L67" i="25"/>
  <c r="N67" i="25" s="1"/>
  <c r="L56" i="25"/>
  <c r="N56" i="25" s="1"/>
  <c r="S22" i="32"/>
  <c r="S14" i="32"/>
  <c r="S21" i="32"/>
  <c r="L79" i="25"/>
  <c r="N79" i="25" s="1"/>
  <c r="S23" i="32"/>
  <c r="L45" i="25"/>
  <c r="S19" i="32"/>
  <c r="S43" i="31"/>
  <c r="S34" i="31"/>
  <c r="S30" i="31"/>
  <c r="L29" i="25"/>
  <c r="S237" i="31"/>
  <c r="U237" i="31" s="1"/>
  <c r="L77" i="25"/>
  <c r="S17" i="31"/>
  <c r="U17" i="31" s="1"/>
  <c r="S15" i="31"/>
  <c r="U15" i="31" s="1"/>
  <c r="L15" i="25"/>
  <c r="N15" i="25" s="1"/>
  <c r="S27" i="32"/>
  <c r="S36" i="32"/>
  <c r="U36" i="32" s="1"/>
  <c r="L150" i="25"/>
  <c r="N150" i="25" s="1"/>
  <c r="S41" i="31"/>
  <c r="S42" i="31"/>
  <c r="S37" i="31"/>
  <c r="S20" i="31"/>
  <c r="U20" i="31" s="1"/>
  <c r="S227" i="31"/>
  <c r="U227" i="31" s="1"/>
  <c r="L22" i="25"/>
  <c r="S14" i="31"/>
  <c r="U14" i="31" s="1"/>
  <c r="S188" i="31"/>
  <c r="U188" i="31" s="1"/>
  <c r="L82" i="25"/>
  <c r="N82" i="25" s="1"/>
  <c r="L146" i="25"/>
  <c r="N146" i="25" s="1"/>
  <c r="S225" i="31"/>
  <c r="U225" i="31" s="1"/>
  <c r="S24" i="32"/>
  <c r="S16" i="32"/>
  <c r="M16" i="24"/>
  <c r="P16" i="24" s="1"/>
  <c r="M14" i="24"/>
  <c r="P14" i="24" s="1"/>
  <c r="L75" i="25"/>
  <c r="L152" i="25"/>
  <c r="N152" i="25" s="1"/>
  <c r="L51" i="25"/>
  <c r="N51" i="25" s="1"/>
  <c r="L80" i="25"/>
  <c r="N80" i="25" s="1"/>
  <c r="L53" i="25"/>
  <c r="N53" i="25" s="1"/>
  <c r="S143" i="31"/>
  <c r="U143" i="31" s="1"/>
  <c r="S16" i="31"/>
  <c r="U16" i="31" s="1"/>
  <c r="S157" i="31"/>
  <c r="S13" i="31"/>
  <c r="U13" i="31" s="1"/>
  <c r="S178" i="31"/>
  <c r="U178" i="31" s="1"/>
  <c r="S35" i="31"/>
  <c r="O231" i="31" l="1"/>
  <c r="S233" i="31"/>
  <c r="U233" i="31" s="1"/>
  <c r="O226" i="31"/>
  <c r="O243" i="31"/>
  <c r="S229" i="31"/>
  <c r="U229" i="31" s="1"/>
  <c r="O259" i="31"/>
  <c r="O253" i="31"/>
  <c r="S230" i="31"/>
  <c r="U230" i="31" s="1"/>
  <c r="O228" i="31"/>
  <c r="S256" i="31"/>
  <c r="U256" i="31" s="1"/>
  <c r="O255" i="31"/>
  <c r="O244" i="31"/>
  <c r="S226" i="31"/>
  <c r="U226" i="31" s="1"/>
  <c r="O250" i="31"/>
  <c r="Q250" i="31" s="1"/>
  <c r="S250" i="31" s="1"/>
  <c r="U250" i="31" s="1"/>
  <c r="S244" i="31"/>
  <c r="U244" i="31" s="1"/>
  <c r="S243" i="31"/>
  <c r="U243" i="31" s="1"/>
  <c r="O256" i="31"/>
  <c r="O236" i="31"/>
  <c r="S228" i="31"/>
  <c r="U228" i="31" s="1"/>
  <c r="O257" i="31"/>
  <c r="S231" i="31"/>
  <c r="U231" i="31" s="1"/>
  <c r="O235" i="31"/>
  <c r="S247" i="31"/>
  <c r="U247" i="31" s="1"/>
  <c r="S260" i="31"/>
  <c r="S259" i="31"/>
  <c r="O252" i="31"/>
  <c r="S232" i="31"/>
  <c r="U232" i="31" s="1"/>
  <c r="O234" i="31"/>
  <c r="S245" i="31"/>
  <c r="U245" i="31" s="1"/>
  <c r="S224" i="31"/>
  <c r="S235" i="31"/>
  <c r="U235" i="31" s="1"/>
  <c r="O254" i="31"/>
  <c r="O245" i="31"/>
  <c r="O249" i="31"/>
  <c r="Q249" i="31" s="1"/>
  <c r="S249" i="31" s="1"/>
  <c r="U249" i="31" s="1"/>
  <c r="S258" i="31"/>
  <c r="U258" i="31" s="1"/>
  <c r="O232" i="31"/>
  <c r="S234" i="31"/>
  <c r="U234" i="31" s="1"/>
  <c r="S254" i="31"/>
  <c r="U254" i="31" s="1"/>
  <c r="O233" i="31"/>
  <c r="O261" i="31"/>
  <c r="S253" i="31"/>
  <c r="U253" i="31" s="1"/>
  <c r="O247" i="31"/>
  <c r="O260" i="31"/>
  <c r="O258" i="31"/>
  <c r="S255" i="31"/>
  <c r="U255" i="31" s="1"/>
  <c r="S252" i="31"/>
  <c r="U252" i="31" s="1"/>
  <c r="O223" i="31"/>
  <c r="Q223" i="31" s="1"/>
  <c r="S223" i="31" s="1"/>
  <c r="S196" i="31"/>
  <c r="U196" i="31" s="1"/>
  <c r="O193" i="31"/>
  <c r="S195" i="31"/>
  <c r="U195" i="31" s="1"/>
  <c r="O194" i="31"/>
  <c r="S191" i="31"/>
  <c r="U191" i="31" s="1"/>
  <c r="S206" i="31"/>
  <c r="U206" i="31" s="1"/>
  <c r="O197" i="31"/>
  <c r="S203" i="31"/>
  <c r="U203" i="31" s="1"/>
  <c r="O203" i="31"/>
  <c r="O196" i="31"/>
  <c r="S194" i="31"/>
  <c r="U194" i="31" s="1"/>
  <c r="O208" i="31"/>
  <c r="S208" i="31"/>
  <c r="U208" i="31" s="1"/>
  <c r="S189" i="31"/>
  <c r="U189" i="31" s="1"/>
  <c r="O210" i="31"/>
  <c r="Q210" i="31" s="1"/>
  <c r="S210" i="31" s="1"/>
  <c r="U210" i="31" s="1"/>
  <c r="S187" i="31"/>
  <c r="O205" i="31"/>
  <c r="O222" i="31"/>
  <c r="Q222" i="31" s="1"/>
  <c r="S222" i="31" s="1"/>
  <c r="U222" i="31" s="1"/>
  <c r="O218" i="31"/>
  <c r="Q218" i="31" s="1"/>
  <c r="S218" i="31" s="1"/>
  <c r="U218" i="31" s="1"/>
  <c r="O217" i="31"/>
  <c r="Q217" i="31" s="1"/>
  <c r="S217" i="31" s="1"/>
  <c r="U217" i="31" s="1"/>
  <c r="S204" i="31"/>
  <c r="U204" i="31" s="1"/>
  <c r="S190" i="31"/>
  <c r="U190" i="31" s="1"/>
  <c r="O215" i="31"/>
  <c r="Q215" i="31" s="1"/>
  <c r="S215" i="31" s="1"/>
  <c r="U215" i="31" s="1"/>
  <c r="O204" i="31"/>
  <c r="S242" i="31"/>
  <c r="U242" i="31" s="1"/>
  <c r="S197" i="31"/>
  <c r="U197" i="31" s="1"/>
  <c r="S192" i="31"/>
  <c r="U192" i="31" s="1"/>
  <c r="O191" i="31"/>
  <c r="O187" i="31"/>
  <c r="O195" i="31"/>
  <c r="S205" i="31"/>
  <c r="U205" i="31" s="1"/>
  <c r="O189" i="31"/>
  <c r="O216" i="31"/>
  <c r="Q216" i="31" s="1"/>
  <c r="S216" i="31" s="1"/>
  <c r="U216" i="31" s="1"/>
  <c r="O192" i="31"/>
  <c r="O242" i="31"/>
  <c r="O211" i="31"/>
  <c r="Q211" i="31" s="1"/>
  <c r="S211" i="31" s="1"/>
  <c r="U211" i="31" s="1"/>
  <c r="S193" i="31"/>
  <c r="U193" i="31" s="1"/>
  <c r="O190" i="31"/>
  <c r="O206" i="31"/>
  <c r="Q185" i="31"/>
  <c r="S185" i="31" s="1"/>
  <c r="U185" i="31" s="1"/>
  <c r="O221" i="31"/>
  <c r="Q221" i="31" s="1"/>
  <c r="S221" i="31" s="1"/>
  <c r="U221" i="31" s="1"/>
  <c r="O213" i="31"/>
  <c r="Q213" i="31" s="1"/>
  <c r="S213" i="31" s="1"/>
  <c r="O262" i="31"/>
  <c r="Q262" i="31" s="1"/>
  <c r="S262" i="31" s="1"/>
  <c r="O214" i="31"/>
  <c r="Q214" i="31" s="1"/>
  <c r="S214" i="31" s="1"/>
  <c r="U214" i="31" s="1"/>
  <c r="O219" i="31"/>
  <c r="Q219" i="31" s="1"/>
  <c r="S219" i="31" s="1"/>
  <c r="U219" i="31" s="1"/>
  <c r="O220" i="31"/>
  <c r="Q220" i="31" s="1"/>
  <c r="S220" i="31" s="1"/>
  <c r="U220" i="31" s="1"/>
</calcChain>
</file>

<file path=xl/comments1.xml><?xml version="1.0" encoding="utf-8"?>
<comments xmlns="http://schemas.openxmlformats.org/spreadsheetml/2006/main">
  <authors>
    <author>Windows User</author>
  </authors>
  <commentList>
    <comment ref="I4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DESCUENTO POR USO 10%
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DESCUENTO POR USO 10%
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10%
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10%</t>
        </r>
      </text>
    </comment>
    <comment ref="J6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10%
</t>
        </r>
      </text>
    </comment>
    <comment ref="I6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10%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10%
</t>
        </r>
      </text>
    </comment>
  </commentList>
</comments>
</file>

<file path=xl/sharedStrings.xml><?xml version="1.0" encoding="utf-8"?>
<sst xmlns="http://schemas.openxmlformats.org/spreadsheetml/2006/main" count="4778" uniqueCount="1463">
  <si>
    <t>OH</t>
  </si>
  <si>
    <t>Subject</t>
  </si>
  <si>
    <t>Date</t>
  </si>
  <si>
    <t>Status</t>
  </si>
  <si>
    <t>N/A</t>
  </si>
  <si>
    <t>Open</t>
  </si>
  <si>
    <t>Closed</t>
  </si>
  <si>
    <t>Last Action</t>
  </si>
  <si>
    <t>Next Action</t>
  </si>
  <si>
    <t>Remaining</t>
  </si>
  <si>
    <t>Aircraft Identification</t>
  </si>
  <si>
    <t>Aircraft Cycles</t>
  </si>
  <si>
    <t xml:space="preserve">AD Nº </t>
  </si>
  <si>
    <t>350A31-1850-02</t>
  </si>
  <si>
    <t>350A31-1850-03</t>
  </si>
  <si>
    <t>350A31-1877-03</t>
  </si>
  <si>
    <t>350A31-1854-21</t>
  </si>
  <si>
    <t>350A37-1244-20</t>
  </si>
  <si>
    <t>350A32-1089-21</t>
  </si>
  <si>
    <t>350A33-1001-21</t>
  </si>
  <si>
    <t>350A33-1092-01</t>
  </si>
  <si>
    <t>350A33-1090-02</t>
  </si>
  <si>
    <t>350A33-1000-21</t>
  </si>
  <si>
    <t>350A33-1526-00</t>
  </si>
  <si>
    <t>350A37-1245-20</t>
  </si>
  <si>
    <t>704A33-651-210</t>
  </si>
  <si>
    <t>F-2003-322 R1</t>
  </si>
  <si>
    <t>F-2002-585</t>
  </si>
  <si>
    <t>F-2002-452 R1</t>
  </si>
  <si>
    <t>F-2002-105 R2</t>
  </si>
  <si>
    <t>F-2002-104 R2</t>
  </si>
  <si>
    <t>F-2000-302</t>
  </si>
  <si>
    <t>F-1999-035 R1</t>
  </si>
  <si>
    <t>F-1998-446</t>
  </si>
  <si>
    <t>F-1984-073</t>
  </si>
  <si>
    <t>Safety belt</t>
  </si>
  <si>
    <t>Transponder KT76A N 93000 A109999</t>
  </si>
  <si>
    <t>Safety belts equipment</t>
  </si>
  <si>
    <t>Ferry fuel tanks</t>
  </si>
  <si>
    <t>Safety belts and restraint system type 343-1</t>
  </si>
  <si>
    <t>Safety belts and restraint system type 343</t>
  </si>
  <si>
    <t>Oxigene cylinder</t>
  </si>
  <si>
    <t>ACTUALIZACION</t>
  </si>
  <si>
    <t>Engine # 1 Hours                                                         125.8</t>
  </si>
  <si>
    <t>Flight Hours</t>
  </si>
  <si>
    <t>EUROCOPTER</t>
  </si>
  <si>
    <t>Manufacturer</t>
  </si>
  <si>
    <t>Registration</t>
  </si>
  <si>
    <t>Manufacturing Date</t>
  </si>
  <si>
    <t>Engine # 1 Cycles NTL ( NF)</t>
  </si>
  <si>
    <t>Engine # 1 Cycles NG</t>
  </si>
  <si>
    <t>Equipment &amp; Furnishing - LOAD release unit - inspection</t>
  </si>
  <si>
    <t>Equipment &amp; Furnishing - lifesaving systems</t>
  </si>
  <si>
    <t>Equipment lifesaving systems D-Lock hooks Super 2009-0124</t>
  </si>
  <si>
    <t>Fecha</t>
  </si>
  <si>
    <t xml:space="preserve">        Ultimo Cumplimiento</t>
  </si>
  <si>
    <t>Directiva Nº</t>
  </si>
  <si>
    <t>Descripción</t>
  </si>
  <si>
    <t>DAN 43 Apen "D"</t>
  </si>
  <si>
    <t>Compensación del compás magnético.</t>
  </si>
  <si>
    <t>DAN 43 Apen "C"</t>
  </si>
  <si>
    <t>Pruebas de Transponder.</t>
  </si>
  <si>
    <t>DAN 43 Apen "A"</t>
  </si>
  <si>
    <t>Inspeccion de 100 Hrs / Anual</t>
  </si>
  <si>
    <t>DAC 08 00 033 D</t>
  </si>
  <si>
    <t>Placa Limitación vuelo IFR aeronaves que no cuentan con sist. comunicación HF</t>
  </si>
  <si>
    <t>DAC 08 00 035 D</t>
  </si>
  <si>
    <t>Dispone uso idioma español en todo letrero de instrucción.</t>
  </si>
  <si>
    <t>PERMANENTE</t>
  </si>
  <si>
    <t>DA 84 01</t>
  </si>
  <si>
    <t>Reemplazo de tapones de drenaje ubicados en los estanques de combustible.</t>
  </si>
  <si>
    <t>DA 96 01</t>
  </si>
  <si>
    <t>Marcas de identificación de líquidos u otros fluidos.</t>
  </si>
  <si>
    <t>DA 99 01R1</t>
  </si>
  <si>
    <t>Cuchillas Cortacables y Cables de Desviación.</t>
  </si>
  <si>
    <t>DAN 08 05</t>
  </si>
  <si>
    <t>DAN 43 Apen "B"</t>
  </si>
  <si>
    <t>Altimetros y Sistema Statico-Pitot (Pil.)</t>
  </si>
  <si>
    <t>Sistema Statico-Pitot</t>
  </si>
  <si>
    <t>DAN 08 11</t>
  </si>
  <si>
    <t>Pesaje Aeronave</t>
  </si>
  <si>
    <t>Listado de equipamiento</t>
  </si>
  <si>
    <t>FECHA</t>
  </si>
  <si>
    <t>REGISTRO DE CUMPLIMIENTO DE INSPECCIONES</t>
  </si>
  <si>
    <t>PROGRAMA DE MANTENIMIENTO</t>
  </si>
  <si>
    <t>ACFT   S/N:</t>
  </si>
  <si>
    <t>INSPECCION</t>
  </si>
  <si>
    <t>INTERVALO</t>
  </si>
  <si>
    <t>DATOS DE CUMPLIMIENTO</t>
  </si>
  <si>
    <t>REMANENTE</t>
  </si>
  <si>
    <t>HRS/CYS/RIN</t>
  </si>
  <si>
    <t>O/T</t>
  </si>
  <si>
    <t>Hrs/Cys</t>
  </si>
  <si>
    <t>Hrs/Cys/Date</t>
  </si>
  <si>
    <t>Remarks</t>
  </si>
  <si>
    <t>Fecha Act.:</t>
  </si>
  <si>
    <t xml:space="preserve">Total Hrs Aeronave: </t>
  </si>
  <si>
    <t xml:space="preserve">Total Cys Aeronave: </t>
  </si>
  <si>
    <t>DA 2009-01</t>
  </si>
  <si>
    <t>Motores T53-L-13B Honeywell</t>
  </si>
  <si>
    <t>DA 2009-02 E</t>
  </si>
  <si>
    <t>Extintor de Incendio portatil Halon 1211 Fire Flight Enterprise</t>
  </si>
  <si>
    <t>PROXIMO CUMPLIMIENTO</t>
  </si>
  <si>
    <t>Fire Fighting - Fire Protection Portable Halon 1211</t>
  </si>
  <si>
    <t>ASB 26-116</t>
  </si>
  <si>
    <t>D-Lock hook of rescue hoist P/N 410-A or 410-F</t>
  </si>
  <si>
    <t>T/Rotor Pitch Change links inspection</t>
  </si>
  <si>
    <t>Portable Halon 1211 Fire Extinguisher</t>
  </si>
  <si>
    <t>SB 863520-26-001</t>
  </si>
  <si>
    <t>FFE - Halon 1211 Fire Extinguisher</t>
  </si>
  <si>
    <t>ASB 26-115</t>
  </si>
  <si>
    <t>DA 2010-02</t>
  </si>
  <si>
    <t>LISTADO DE DIRECTIVAS DE AERONAVEGABILIDAD - DGAC</t>
  </si>
  <si>
    <t>Intervalo</t>
  </si>
  <si>
    <t>Próx. Cumplimiento</t>
  </si>
  <si>
    <t>Remanente</t>
  </si>
  <si>
    <t>Observaciones</t>
  </si>
  <si>
    <t>Hrs/Cys/Dys</t>
  </si>
  <si>
    <t>Docto. Cumplimiento</t>
  </si>
  <si>
    <t>Hrs/Cys/Fecha</t>
  </si>
  <si>
    <t>Hrs</t>
  </si>
  <si>
    <t>REPETIR CADA 24 MESES</t>
  </si>
  <si>
    <t>Limitación de GPS a vuelo VFR</t>
  </si>
  <si>
    <t>N/A, AERONAVE VFR</t>
  </si>
  <si>
    <t>Una vez</t>
  </si>
  <si>
    <t>N/A POR FABRICANTE DE MOTOR.</t>
  </si>
  <si>
    <t>N/A, EXTINTORES INSTALADOS NO AFECTOS</t>
  </si>
  <si>
    <t>Helicopteros certificado categoría restringida, modelos AH, UH Series</t>
  </si>
  <si>
    <t>N/A POR MODELO DE HELICOPTERO</t>
  </si>
  <si>
    <t>Extintores de incendio de gas halon 1211 (BCF) FFE, L´hotellier y Sicli</t>
  </si>
  <si>
    <t>REPETIR CADA 8 AÑOS</t>
  </si>
  <si>
    <t>N/A, POR S/N DE EXTINTOR INSTALADO</t>
  </si>
  <si>
    <t xml:space="preserve"> PROGRAMA DE MANTENIMIENTO</t>
  </si>
  <si>
    <t>Acft. Total Hours</t>
  </si>
  <si>
    <t>Motor Total Hours</t>
  </si>
  <si>
    <t>Acft. Total Cycles</t>
  </si>
  <si>
    <t>CERTIFICATIONS</t>
  </si>
  <si>
    <t xml:space="preserve">Certificación de Aeronavegabilidad </t>
  </si>
  <si>
    <t>SERVICING</t>
  </si>
  <si>
    <t>OTHER INSPECTIONS</t>
  </si>
  <si>
    <t>Docto.</t>
  </si>
  <si>
    <t>Interval</t>
  </si>
  <si>
    <t>Reference</t>
  </si>
  <si>
    <t>,</t>
  </si>
  <si>
    <t>Equipment and Furnishings – Hoist Operator’s Belt Snap Hook – Replacement / Modification</t>
  </si>
  <si>
    <t>CC-ACX</t>
  </si>
  <si>
    <t>N° SERIE AERONAVE</t>
  </si>
  <si>
    <t>N° SERIE MOTOR</t>
  </si>
  <si>
    <t>HORAS TOTALES</t>
  </si>
  <si>
    <t>CICLOS TOTALES</t>
  </si>
  <si>
    <t>DESCRIPCION</t>
  </si>
  <si>
    <t>NUMERO</t>
  </si>
  <si>
    <t>ULTIMO CUMPLIMIENTO O</t>
  </si>
  <si>
    <t>TIEMPOS DEL COMP.</t>
  </si>
  <si>
    <t>PROXIMO</t>
  </si>
  <si>
    <t>COMPONENTE</t>
  </si>
  <si>
    <t>DE PARTE</t>
  </si>
  <si>
    <t>DE SERIE</t>
  </si>
  <si>
    <t>T.B.O.</t>
  </si>
  <si>
    <t>INSTALACION EN A/C.</t>
  </si>
  <si>
    <t>A SU INSTALACION</t>
  </si>
  <si>
    <t>DEL COMPONENTE</t>
  </si>
  <si>
    <t>CUMPLIMIENTO</t>
  </si>
  <si>
    <t>(DYS/HRS/</t>
  </si>
  <si>
    <t>DOCTO.</t>
  </si>
  <si>
    <t>CYS/RIN)</t>
  </si>
  <si>
    <t>OC</t>
  </si>
  <si>
    <t>MAIN ROTOR BLADE</t>
  </si>
  <si>
    <t>ATA</t>
  </si>
  <si>
    <t>BATTERY</t>
  </si>
  <si>
    <t>CABIN FIRE EXTINGUISHER</t>
  </si>
  <si>
    <t>FUEL PUMP</t>
  </si>
  <si>
    <t>MAIN ROTOR HUB</t>
  </si>
  <si>
    <t>TAIL ROTOR BLADE</t>
  </si>
  <si>
    <t>TAIL GEARBOX</t>
  </si>
  <si>
    <t>TAIL ROTOR HUB</t>
  </si>
  <si>
    <t>350A33-2119-05</t>
  </si>
  <si>
    <t>SERVOCONTROL, TAIL</t>
  </si>
  <si>
    <t>SC 5072</t>
  </si>
  <si>
    <t>MAIN SERVOCONTROL</t>
  </si>
  <si>
    <t>STARTER GENERATOR</t>
  </si>
  <si>
    <t>CK</t>
  </si>
  <si>
    <t>COD.</t>
  </si>
  <si>
    <t>MGB - OIL PUMP</t>
  </si>
  <si>
    <t>MGB – BEVEL REDUCTION GEAR</t>
  </si>
  <si>
    <t>MGB - EPICYCLIC REDUCTION GEAR</t>
  </si>
  <si>
    <t>MAIN ROTOR BLADE HORN</t>
  </si>
  <si>
    <t>STAR, STARFLEX</t>
  </si>
  <si>
    <t xml:space="preserve">THRUST BEARING, SPHERICAL </t>
  </si>
  <si>
    <t>704A33-633-211</t>
  </si>
  <si>
    <t>MAIN ROTOR SHAFT</t>
  </si>
  <si>
    <t>F-2004-170 R1</t>
  </si>
  <si>
    <t>Crack in the belt buckle</t>
  </si>
  <si>
    <t>05.00.55 R2</t>
  </si>
  <si>
    <t>01.00.49</t>
  </si>
  <si>
    <t>Portable extinguishers</t>
  </si>
  <si>
    <t>25.00.89</t>
  </si>
  <si>
    <t>01.00.11</t>
  </si>
  <si>
    <t xml:space="preserve">Total Hrs Motor: </t>
  </si>
  <si>
    <t>VERIFICADO POR AVIATRONIC</t>
  </si>
  <si>
    <t>Y</t>
  </si>
  <si>
    <t>AS REQ.</t>
  </si>
  <si>
    <t>704A33-651-158</t>
  </si>
  <si>
    <t>MGB - PLANET GEAR</t>
  </si>
  <si>
    <t>TGB - BEVEL GEAR</t>
  </si>
  <si>
    <t>TGB - BEVEL WHEEL</t>
  </si>
  <si>
    <t>TGB - CASING</t>
  </si>
  <si>
    <t>TGB - SHAFT</t>
  </si>
  <si>
    <t>AFT SHAFT</t>
  </si>
  <si>
    <t>HP TURBINE DISC</t>
  </si>
  <si>
    <t>REAR BEARING</t>
  </si>
  <si>
    <t>HP TURBINE BLADES</t>
  </si>
  <si>
    <t>REGISTRO DE CUMPLIMIENTO DE INSPECCIONES ICA</t>
  </si>
  <si>
    <t xml:space="preserve">Fecha Actualización: </t>
  </si>
  <si>
    <t xml:space="preserve">Modelo: </t>
  </si>
  <si>
    <t xml:space="preserve">N° Serie: </t>
  </si>
  <si>
    <t>Aeronave Reg.:</t>
  </si>
  <si>
    <t>Turbomeca</t>
  </si>
  <si>
    <t xml:space="preserve">Motor Mod.: </t>
  </si>
  <si>
    <t xml:space="preserve">Aeronave Reg.: </t>
  </si>
  <si>
    <t>Modelo :</t>
  </si>
  <si>
    <t>N° Serie :</t>
  </si>
  <si>
    <t xml:space="preserve">Fecha Actual.: </t>
  </si>
  <si>
    <t>Fabricante :</t>
  </si>
  <si>
    <t xml:space="preserve">Total Cys Motor NG: </t>
  </si>
  <si>
    <t>AERONAVE REG.</t>
  </si>
  <si>
    <t>MODELO</t>
  </si>
  <si>
    <t>Equipment - Passenger Seats - Inspection of Seat Belt Shackle</t>
  </si>
  <si>
    <t>Navigation - Automatic Deployable Emergency Locator Transmitter (ADELT) and Automatic Deployable..</t>
  </si>
  <si>
    <t>Navigation Systems - Mode C and S Transponders - Check</t>
  </si>
  <si>
    <t>Navigation Systems - Mode S Transponder - Modification</t>
  </si>
  <si>
    <t>Electrical Power - Switches - Inspection / Replacement</t>
  </si>
  <si>
    <t>Communication - Comm Units &amp; Transponders - Modification / Replacement</t>
  </si>
  <si>
    <t>Equipment &amp; Furnishings – Passenger Seats – Inspection / Repair / Modification</t>
  </si>
  <si>
    <t>Equipment &amp; Furnishings – Passenger Seat Backrest - Replacement</t>
  </si>
  <si>
    <t>Navigation Systems – Mode-S Transponder – Modification / Replacement</t>
  </si>
  <si>
    <t>Navigation – Mode-S Transponders – Replacement</t>
  </si>
  <si>
    <t>Navigation – Mode-S Transponders – Limitation</t>
  </si>
  <si>
    <t>Communications - Thales Communications VHF Data Radio - Modification</t>
  </si>
  <si>
    <t>Navigation – Mode A/C Transponder – Check / Modification</t>
  </si>
  <si>
    <t>Equipment / Furnishings - Emergency Parachute – Inspection / Rework</t>
  </si>
  <si>
    <t>Navigation – Mode S Transponder – Check / Modification</t>
  </si>
  <si>
    <t>Equipment and Furnishing – Oxygen Mask Regulator – Modification</t>
  </si>
  <si>
    <t>Communication – Very High Frequency (VHF/AM) Transceiver – Modification</t>
  </si>
  <si>
    <t>Navigation – Mode S Transponder – Modification / Replacement</t>
  </si>
  <si>
    <t>Superseded by EASA AD 2007-0156</t>
  </si>
  <si>
    <t>Equipment – Temporary grounding of reserve parachute</t>
  </si>
  <si>
    <t>Superseded by EASA AD 2006-0160</t>
  </si>
  <si>
    <t>Electrical Power – Switches – Inspection/Replacement</t>
  </si>
  <si>
    <t>Superseded by EASA AD 2006-0375</t>
  </si>
  <si>
    <t>Navigation – Mode S Transponder Wiring – Modification</t>
  </si>
  <si>
    <t>Superseded by EASA AD 2010-0003</t>
  </si>
  <si>
    <t>Equipment- Reserve Parachute - Mandatory Packing Modifications, Slider and Steering Lines Replacement</t>
  </si>
  <si>
    <t>CANCELLED</t>
  </si>
  <si>
    <t>N/A by manufacturer</t>
  </si>
  <si>
    <t>N/A, ELT KANNAD 406 AF‐H
installed</t>
  </si>
  <si>
    <t>N/A, Equipment not installed</t>
  </si>
  <si>
    <t>N/A, Optional not installed</t>
  </si>
  <si>
    <t>N/A, Ref not installed</t>
  </si>
  <si>
    <t>Cumplimiento de acuerdo a DAN 43 Apendice C</t>
  </si>
  <si>
    <t xml:space="preserve">Last Airworthiness Certificate                                            </t>
  </si>
  <si>
    <t xml:space="preserve">Aircraft Type                                                               </t>
  </si>
  <si>
    <t>Serial Number</t>
  </si>
  <si>
    <t xml:space="preserve">Engine # 1                                                   </t>
  </si>
  <si>
    <t>ARRIUS 1A</t>
  </si>
  <si>
    <t xml:space="preserve">Serial Number                                                        </t>
  </si>
  <si>
    <t>ENGINES</t>
  </si>
  <si>
    <t xml:space="preserve">Engine # 2                                                    </t>
  </si>
  <si>
    <t xml:space="preserve">Serial Number                                                         </t>
  </si>
  <si>
    <t>Fecha Actualización</t>
  </si>
  <si>
    <t>ALF</t>
  </si>
  <si>
    <t>Interval 30 Ms</t>
  </si>
  <si>
    <t>Main GearBox - Mineral Oil Change</t>
  </si>
  <si>
    <t>Tail GearBox - Mineral Oil Change</t>
  </si>
  <si>
    <t>Hydraulic System - Draining &amp; Fill</t>
  </si>
  <si>
    <t>Engine - Oil Change</t>
  </si>
  <si>
    <t>P94C16-602</t>
  </si>
  <si>
    <t>SC8042</t>
  </si>
  <si>
    <t>SC8043</t>
  </si>
  <si>
    <t>524-062</t>
  </si>
  <si>
    <t>GAS GENERATOR</t>
  </si>
  <si>
    <t>REDUCTION GEAR</t>
  </si>
  <si>
    <t>Actualizado al</t>
  </si>
  <si>
    <t>MODELO MOTOR N°1</t>
  </si>
  <si>
    <t>MODELO MOTOR N°2</t>
  </si>
  <si>
    <t>LP PUMP / ALTERNATOR</t>
  </si>
  <si>
    <t>HP PUMP METERING UNIT</t>
  </si>
  <si>
    <t>STRAP SAFETY 4 POINT</t>
  </si>
  <si>
    <t>MAIN INYECTOR</t>
  </si>
  <si>
    <t>UNK</t>
  </si>
  <si>
    <t>BLADE PIN</t>
  </si>
  <si>
    <t>350A31-1917-00</t>
  </si>
  <si>
    <t>355A37-0005-01</t>
  </si>
  <si>
    <t>ROTOR SHAFT</t>
  </si>
  <si>
    <t>SCISSORS UPPER, LINK</t>
  </si>
  <si>
    <t>350A37-1126-02</t>
  </si>
  <si>
    <t>SCISSORS LOWER, LINK</t>
  </si>
  <si>
    <t>350A37-1127-02</t>
  </si>
  <si>
    <t>350A37-1002-07</t>
  </si>
  <si>
    <t>ROTATING SWASHPLATE</t>
  </si>
  <si>
    <t>350A37-1003-08</t>
  </si>
  <si>
    <t>MAST UPPER CASING ASSY</t>
  </si>
  <si>
    <t>350A37-1291-00</t>
  </si>
  <si>
    <t>MAST LOWER CASING ASSY</t>
  </si>
  <si>
    <t>350A37-1292-00</t>
  </si>
  <si>
    <t>355A35-3001-20</t>
  </si>
  <si>
    <t>355A35-3006-01</t>
  </si>
  <si>
    <t>SLIDING FLANGE</t>
  </si>
  <si>
    <t>355A35-3012-20</t>
  </si>
  <si>
    <t>350A32-1082-03</t>
  </si>
  <si>
    <t>GEAR INPUT FLANGE RED</t>
  </si>
  <si>
    <t>355A32-2095-21</t>
  </si>
  <si>
    <t>FWD SUSPENSION BAR</t>
  </si>
  <si>
    <t>355A38-0031-00</t>
  </si>
  <si>
    <t>TAIL ROTOR DRIVE SHAFT</t>
  </si>
  <si>
    <t>350A34-0110-07</t>
  </si>
  <si>
    <t>350A34-1011-05</t>
  </si>
  <si>
    <t>355A34-1038-20</t>
  </si>
  <si>
    <t>6006F442M16</t>
  </si>
  <si>
    <t>PITCH CHANGE SPIDER</t>
  </si>
  <si>
    <t>DRIVE GEAR FRONT BEARING</t>
  </si>
  <si>
    <t>DRIVE GEAR REAR BEARING</t>
  </si>
  <si>
    <t>INTERMED GEAR FRONT BEARING</t>
  </si>
  <si>
    <t>INTERMED GEAR REAR BEARING</t>
  </si>
  <si>
    <t>OUTPUT GEAR FRONT BEARING</t>
  </si>
  <si>
    <t>OUTPUT GEAR REAR BEARING</t>
  </si>
  <si>
    <t>TORQUEMETER PISTON BEARING</t>
  </si>
  <si>
    <t>ACCESSORY BEARING</t>
  </si>
  <si>
    <t>CENTRIFUGAL IMPELLER</t>
  </si>
  <si>
    <t>BALANCING PISTON</t>
  </si>
  <si>
    <t>0319201520</t>
  </si>
  <si>
    <t>FRONT BEARING</t>
  </si>
  <si>
    <t>9609000414</t>
  </si>
  <si>
    <t>FREE TURBINE BEARING</t>
  </si>
  <si>
    <t>9609000447</t>
  </si>
  <si>
    <t>231940A0W0</t>
  </si>
  <si>
    <t>9609000595</t>
  </si>
  <si>
    <t>CC-ACW</t>
  </si>
  <si>
    <t>05.00.54</t>
  </si>
  <si>
    <t xml:space="preserve">F-1981-183-001 </t>
  </si>
  <si>
    <t>Tail Rotor Pitch Change horn Assembly</t>
  </si>
  <si>
    <t>F-1981-204-002</t>
  </si>
  <si>
    <t>Improved installation of upper fin and lower fins</t>
  </si>
  <si>
    <t>N/A BY P/N</t>
  </si>
  <si>
    <t>F-1981-224-003</t>
  </si>
  <si>
    <t>Reinforcement under supports on RH and LH engines</t>
  </si>
  <si>
    <t>F-1982-025-004</t>
  </si>
  <si>
    <t>Checking the bonding of stainless steel protections on leadings edges (T/R Blades p/n 350A12.0030.00 to .05)</t>
  </si>
  <si>
    <t>F-1982-078-005 R5</t>
  </si>
  <si>
    <t>Checking the ball bearings in the tail rotor drive shaft rear section (A)</t>
  </si>
  <si>
    <t>SB 05.00.02 R5</t>
  </si>
  <si>
    <t>F-1982-099-006</t>
  </si>
  <si>
    <t>Upper fin attachment fitting. MOD 07.147</t>
  </si>
  <si>
    <t>F-1982-157-007</t>
  </si>
  <si>
    <t>Improving fire tightness on the firewall</t>
  </si>
  <si>
    <t>F-1982-180-009</t>
  </si>
  <si>
    <t>Main Gear Box. Oil monitoring. AMS 07.0751 // 07.1211</t>
  </si>
  <si>
    <t>F-1983-076-013</t>
  </si>
  <si>
    <t>Tail rotor. Retiring for operation and replacing stainless steel leading edges</t>
  </si>
  <si>
    <t>F-1983-115-015</t>
  </si>
  <si>
    <t>Inspection of the horizontal stabilizer</t>
  </si>
  <si>
    <t xml:space="preserve">F-1983-166-018 </t>
  </si>
  <si>
    <t>Main Gear box. Epicyclic reduction gear p/n 350A32.0100.05. Reduction of life limit of planet pinion cage</t>
  </si>
  <si>
    <t>F-1983-174-020</t>
  </si>
  <si>
    <t>Main Rotor Shaft. Checking for cracks and/or corrosion</t>
  </si>
  <si>
    <t>F-1984-017-021</t>
  </si>
  <si>
    <t>Horizontal stabilizer P/N 355A13.0520.01.01 service life limitation</t>
  </si>
  <si>
    <t>F-1984-045-022 R4</t>
  </si>
  <si>
    <t>Tail Rotor blades spars</t>
  </si>
  <si>
    <t xml:space="preserve">ASB 05.00.06 R4 </t>
  </si>
  <si>
    <t>F-1984-081-023</t>
  </si>
  <si>
    <t>Lubrification system of the Main Gear Box. Modify by AMS 07.1122</t>
  </si>
  <si>
    <t>F-1985-069-024</t>
  </si>
  <si>
    <t>Inspection of the bolted junction. Bevel ring gear/vertical shaft of the bevel reduction gear module p/n 355A32.0600.00/.01</t>
  </si>
  <si>
    <t>N/A BY P/N INSTALLED</t>
  </si>
  <si>
    <t xml:space="preserve">F-1985-094-025 </t>
  </si>
  <si>
    <t>Main Rotor Shaft p/n 350A37.1076.04 / .05 / .06</t>
  </si>
  <si>
    <t>F-1986-006-026</t>
  </si>
  <si>
    <t>Fire protection system. AMS 07.0691 / 07.0692 / 07.1029 / 07.1043</t>
  </si>
  <si>
    <t>F-1986-032-027</t>
  </si>
  <si>
    <t>: Interference of emergency flotation gear with rear steps on raised skid-type landing gear. AMS 07.1755</t>
  </si>
  <si>
    <t>N/A. NOT INSTALLED</t>
  </si>
  <si>
    <t>F-1986-035-028 R1</t>
  </si>
  <si>
    <t>Main rotor Head. Roving sleeve beams</t>
  </si>
  <si>
    <t>F-1986-126-029</t>
  </si>
  <si>
    <t>Behaviour of the helicopter on ground with rotor turning</t>
  </si>
  <si>
    <t>F-1986-150-030</t>
  </si>
  <si>
    <t>Hydraulic system</t>
  </si>
  <si>
    <t xml:space="preserve">F-1986-153-031 R4 </t>
  </si>
  <si>
    <t>Engine flame out</t>
  </si>
  <si>
    <t>F-1987-038-032</t>
  </si>
  <si>
    <t>MGB suspension bars P/N'S 355A38.0040.02 / .03 / .04 / .05</t>
  </si>
  <si>
    <t>F-1987-089-033</t>
  </si>
  <si>
    <t>Sliding doors. Modify per AMS 07.1845</t>
  </si>
  <si>
    <t>F-1987-116-034</t>
  </si>
  <si>
    <t>Flight cycle calculation</t>
  </si>
  <si>
    <t>F-1987-160-035</t>
  </si>
  <si>
    <t>Spherical thrust bearing bolts. Service life limit limitation (P/N's 350A31.2051.20 / 350.A31.2067.20)</t>
  </si>
  <si>
    <t>F-1988-057-036 R2</t>
  </si>
  <si>
    <t>MGB oil cooling fan vibration level</t>
  </si>
  <si>
    <t xml:space="preserve">F-1988-183-037 R1 </t>
  </si>
  <si>
    <t>DUNLOP servocontrols</t>
  </si>
  <si>
    <t>F-1989-082-038</t>
  </si>
  <si>
    <t>Spherical thrust bearings P/N 704A-33-633-109</t>
  </si>
  <si>
    <t>F-1989-156-039 R3</t>
  </si>
  <si>
    <t>Swashplate fitted with bearings p/n's: see AD</t>
  </si>
  <si>
    <t>F-1990-061-040</t>
  </si>
  <si>
    <t>Fuel line P/N 704A34.416.031. AMS 07.0791</t>
  </si>
  <si>
    <t>F-1990-199-041 R1</t>
  </si>
  <si>
    <t>Battery temperature probe. Amendment "E"</t>
  </si>
  <si>
    <t>F-1991-138-043</t>
  </si>
  <si>
    <t>Pitch control lever expansion pin. Tail rotor</t>
  </si>
  <si>
    <t xml:space="preserve">F-1991-158-044 </t>
  </si>
  <si>
    <t>Tail Rotor drive shaft bearings</t>
  </si>
  <si>
    <t>F-1991-164-042</t>
  </si>
  <si>
    <t>F-1992-142-045</t>
  </si>
  <si>
    <t>JOLLIET emergency Locator Transmitter antenna. AMS 07.2492</t>
  </si>
  <si>
    <t>F-1992-183-046 R1</t>
  </si>
  <si>
    <t>Main rotor pitch change horn bushes P/N 350A31.1877.02 not marked with an 'X' and s/n less than 100-000</t>
  </si>
  <si>
    <t>F-1993-031-047</t>
  </si>
  <si>
    <t>Main Rotor Mast assembly P/N 350A37.0004.02 / .03 and 350A37.0005.01</t>
  </si>
  <si>
    <t>F-1993-089-048 R1</t>
  </si>
  <si>
    <t>Door "Clear Vision" window pre-SB 05.26 (See AD for P/N's affected)</t>
  </si>
  <si>
    <t xml:space="preserve">F-1993-137-049 </t>
  </si>
  <si>
    <t>Engine fire detection</t>
  </si>
  <si>
    <t>F-1994-088-050</t>
  </si>
  <si>
    <t>MGB oil pressure switch P/N 704A37.721.082</t>
  </si>
  <si>
    <t>F-1994-179-051</t>
  </si>
  <si>
    <t>Cyclic pitch change control rod P/N 704A34.113.279</t>
  </si>
  <si>
    <t>F-1994-280-052R1</t>
  </si>
  <si>
    <t>Main Rotor Shaft P/N 355A37-000- All dash numbers</t>
  </si>
  <si>
    <t>F-1996-155-053R1</t>
  </si>
  <si>
    <t>MGB suspension bi-directional cross beam P/N 350A38.1018- all dash numbers and installed on the complete coss beam assy</t>
  </si>
  <si>
    <t>F-1997-146-054R1</t>
  </si>
  <si>
    <t>Tail boom to aircraft structure junction attacment screws P/N 22201BC60008L (N5103337287)</t>
  </si>
  <si>
    <t>ASB 01.00.43</t>
  </si>
  <si>
    <t xml:space="preserve">F-1998-510-055 </t>
  </si>
  <si>
    <t>Single-Pole circuit breakers</t>
  </si>
  <si>
    <t>F-1999-083-056</t>
  </si>
  <si>
    <t>P2 system 3-way coupling</t>
  </si>
  <si>
    <t>F-1999-084-057R3</t>
  </si>
  <si>
    <t>Tail Rotor hub pitch-change plate bearing p/n's 350A33-2004-00 /-01 /-02 /-03 /-05 not modified per AMS 07.6551 (NEW P/N</t>
  </si>
  <si>
    <t>F-1999-469-058R2</t>
  </si>
  <si>
    <t>Starter Generators</t>
  </si>
  <si>
    <t>F-2000-223-059R1</t>
  </si>
  <si>
    <t>Bearing spacer of the tail rotor head pitch change plate pre-MOD 07.6550</t>
  </si>
  <si>
    <t xml:space="preserve">F-2000-339-060R3 </t>
  </si>
  <si>
    <t>Electrical power system</t>
  </si>
  <si>
    <t>F-2001-073-061</t>
  </si>
  <si>
    <t>Tail Rotor hub pitch-change plate bearing P/N 704A33.651.190</t>
  </si>
  <si>
    <t>F-2001-087-062 R1</t>
  </si>
  <si>
    <t>Rear bench cushions</t>
  </si>
  <si>
    <t>F-2001-318</t>
  </si>
  <si>
    <t>SIREN loads release units</t>
  </si>
  <si>
    <t>F-2001-558-064R3</t>
  </si>
  <si>
    <t>Main rotor Starflex Star. Pre-MOD 07.6221</t>
  </si>
  <si>
    <t>F-2001-581-063R1</t>
  </si>
  <si>
    <t>Tail servocontro-eye end fitting locking</t>
  </si>
  <si>
    <t xml:space="preserve">F-2001-591-065R1 </t>
  </si>
  <si>
    <t>TRW SAMM Main Servocontrols</t>
  </si>
  <si>
    <t>F-2001-641-067</t>
  </si>
  <si>
    <t>Tail Rotor Blades</t>
  </si>
  <si>
    <t>F-2002-028-066 R1</t>
  </si>
  <si>
    <t>BREEZE 450-lb electric hoist</t>
  </si>
  <si>
    <t>F-2002-280-068 R1</t>
  </si>
  <si>
    <t>Navigation - Horizontal situation indicator KI 525A</t>
  </si>
  <si>
    <t>ASB 34.00.09</t>
  </si>
  <si>
    <t>F-2002-315-069R1</t>
  </si>
  <si>
    <t>Rotor flight controls - TRW - SAMM main servocontrols</t>
  </si>
  <si>
    <t>F-2002-331-071R3</t>
  </si>
  <si>
    <t>MGB lubrification pump</t>
  </si>
  <si>
    <t>Doors - Sliding door - Wear on rollers and rails</t>
  </si>
  <si>
    <t>Correction of operating hours in main and tail dynamic components</t>
  </si>
  <si>
    <t>BREEZE or TRW (or LUCAS or AIR EQUIPEMENT) 300 lb. - Electric hoist installation. PRE-MOD 073190</t>
  </si>
  <si>
    <t>F-2003-003 R1</t>
  </si>
  <si>
    <t>Rotor flight control. Cyclic stick. Post-MOD 070682 and Pre-MOD 073179</t>
  </si>
  <si>
    <t>67.00.24</t>
  </si>
  <si>
    <t>F-2003-100</t>
  </si>
  <si>
    <t>Main and tail TRW SAMM servocontrols</t>
  </si>
  <si>
    <t>Rotor flight controls. Double locking of the stop screws</t>
  </si>
  <si>
    <t>ASB 67.00.25</t>
  </si>
  <si>
    <t xml:space="preserve">F-2003-454 R2 </t>
  </si>
  <si>
    <t>MGB bevel reduction gear and combiner gearbox</t>
  </si>
  <si>
    <t>Rotor drive - Main gearbox (MGB) free-wheel. Pre-MOD 07.7212</t>
  </si>
  <si>
    <t>F-2004-036</t>
  </si>
  <si>
    <t xml:space="preserve">Rear structure junction frame </t>
  </si>
  <si>
    <t>Equipment and furnishings - Hoist hooks</t>
  </si>
  <si>
    <t>F-2004-056</t>
  </si>
  <si>
    <t>Time limits - Maintenance checks - Replacement of hydraulic fluid in cold weather</t>
  </si>
  <si>
    <t>F-2004-090</t>
  </si>
  <si>
    <t>Hydraulic system - Hydraulic cut off function. Pre-MOD 07.3263</t>
  </si>
  <si>
    <t xml:space="preserve">F-2004-096 </t>
  </si>
  <si>
    <t xml:space="preserve">Equipment/Furnishings - Hoist operator's belt snap hook </t>
  </si>
  <si>
    <t>Equipments/Furnishings - Hoist hooks</t>
  </si>
  <si>
    <t>F-2004-176</t>
  </si>
  <si>
    <t xml:space="preserve">Tail rotor - Tail rotor blade trailing edge tab debonding </t>
  </si>
  <si>
    <t>Stabilizers - Upper and lower vertical fin spars</t>
  </si>
  <si>
    <t>F-2005-033 R1</t>
  </si>
  <si>
    <t>Pin of the sliding door rear fitting</t>
  </si>
  <si>
    <t xml:space="preserve">F-2005-043 R1 </t>
  </si>
  <si>
    <t>Rotor flight controls. Yaw control</t>
  </si>
  <si>
    <t>F-2005-082 R1</t>
  </si>
  <si>
    <t>Tail rotor drive shaft forward section</t>
  </si>
  <si>
    <t>Untimely firing of squibs on Goodrich electric hoists</t>
  </si>
  <si>
    <t xml:space="preserve">R/H cabin vibration damper assembly </t>
  </si>
  <si>
    <t>F-2006-027 R1</t>
  </si>
  <si>
    <t xml:space="preserve">MGB lubrification pump </t>
  </si>
  <si>
    <t xml:space="preserve">EASA 2004-5339 </t>
  </si>
  <si>
    <t>Rotor flight controls - Double locking of the stop screws</t>
  </si>
  <si>
    <t>EASA 2004-6366</t>
  </si>
  <si>
    <t>Hydraulic system - Hydraulic cut off function</t>
  </si>
  <si>
    <t>EASA 2004-9370</t>
  </si>
  <si>
    <t>Tail rotor - Bearing spacer of the tail rotor head pitch change plate</t>
  </si>
  <si>
    <t>EASA 2005-4319</t>
  </si>
  <si>
    <t>Tail rotor drive shaft - Forward shaft section</t>
  </si>
  <si>
    <t>EASA 2005-4691</t>
  </si>
  <si>
    <t>Equipment/Furnishings - Untimely firing of squibs on GOODRICH electric hoists</t>
  </si>
  <si>
    <t>EASA 2006-0055-E</t>
  </si>
  <si>
    <t xml:space="preserve">Rotor Flight Controls - Main Servo-Controls </t>
  </si>
  <si>
    <t>EASA 2006-0081</t>
  </si>
  <si>
    <t xml:space="preserve">Rotors Flight Control - Yaw Control </t>
  </si>
  <si>
    <t>NEW CABLE TYPE INSTALLED BY KNAUS HELICOPTERS</t>
  </si>
  <si>
    <t>EASA 2006-0096</t>
  </si>
  <si>
    <t>Stabilizers - Upper and Lower Fins</t>
  </si>
  <si>
    <t>EASA 2006-0098</t>
  </si>
  <si>
    <t>Equipment / Furnishings - Hoist Hooks</t>
  </si>
  <si>
    <t>EASA 2006-0100</t>
  </si>
  <si>
    <t xml:space="preserve">Tail Rotor Drive - Tail Rotor Drive Shaft Forward Shaft </t>
  </si>
  <si>
    <t xml:space="preserve">EASA 2006-0164 </t>
  </si>
  <si>
    <t xml:space="preserve">Equipment/Furnishings - Untimely Firing of Squibs on GOODRICH Electric Hoists
</t>
  </si>
  <si>
    <t>EASA 2006-0235-E</t>
  </si>
  <si>
    <t>Tail Rotor - Tail Rotor Blade Skin - Check</t>
  </si>
  <si>
    <t>EASA 2006-0249</t>
  </si>
  <si>
    <t>Sliding Door - Wear on Rollers and Rails</t>
  </si>
  <si>
    <t>ASB 05.00.39 R2</t>
  </si>
  <si>
    <t>EASA 2006-0250</t>
  </si>
  <si>
    <t xml:space="preserve">Main Rotor Drive - Main Gearbox (MGB) Free-Wheel Pre-MOD 07.7212 </t>
  </si>
  <si>
    <t xml:space="preserve">INSPECTION / Doors - Sliding Door Rear Roller Support Shaft and Rear Fitting. Helicopters AS 355 E, F, F1, F2 and N, fitted with sliding door(s) before embodiment of MOD 073298 and/or MOD 073308
</t>
  </si>
  <si>
    <t>SUPERSEDED BY EASA 2007-0236</t>
  </si>
  <si>
    <t xml:space="preserve">EASA 2006-0252 </t>
  </si>
  <si>
    <t>Equipment and Furnishings - Hoist Operator’s Belt Snap Hook</t>
  </si>
  <si>
    <t>EASA 2006-0254</t>
  </si>
  <si>
    <t>Starting - Starter Generator Vibration. Supersedes</t>
  </si>
  <si>
    <t>ASB 80.00.12 R1</t>
  </si>
  <si>
    <t>EASA 2006-0265</t>
  </si>
  <si>
    <t>Navigation Systems - Mode S and C Transponders - Check</t>
  </si>
  <si>
    <t xml:space="preserve">INSPECTION / REPLACEMENT - RH Cabin Vibration Damper &amp; Blade (Para. 2.B.1 ASB 05.46) </t>
  </si>
  <si>
    <t>ASB 05.46</t>
  </si>
  <si>
    <t xml:space="preserve">EASA 2006-0338 </t>
  </si>
  <si>
    <t>Starting - Starter Generator Limitations</t>
  </si>
  <si>
    <t>ASB 01.00.52</t>
  </si>
  <si>
    <t>EASA 2006-0378-E</t>
  </si>
  <si>
    <t xml:space="preserve">Main Gearbox (MGB) Lubrication Pump </t>
  </si>
  <si>
    <t>EASA 2007-0099</t>
  </si>
  <si>
    <t xml:space="preserve">Main &amp; Tail Rotors Servo-Controls - Inspection / Modification </t>
  </si>
  <si>
    <t xml:space="preserve">ASB 67.28 </t>
  </si>
  <si>
    <t>EASA 2007-0131-E</t>
  </si>
  <si>
    <t xml:space="preserve">Rotor Flight Controls - Load Compensator Levers 
Inspection / Replacement. AMS 072065 
</t>
  </si>
  <si>
    <t>ASB 67.00.29 R1</t>
  </si>
  <si>
    <t>KNAUS</t>
  </si>
  <si>
    <t xml:space="preserve">INSPECTION - Tail rotor blades skin (Para. 1 &amp; 2 of this AD). EUROCOPTER helicopter AS 355 E, F, F1, F2 and N all serial numbers </t>
  </si>
  <si>
    <t xml:space="preserve">INSPECTION / MODIFICATION: Center cross-member under the cabin floor </t>
  </si>
  <si>
    <t>EASA 2007-0141-E</t>
  </si>
  <si>
    <t>Main &amp; Tail Rotors Servo-Controls - Inspection / Replacement</t>
  </si>
  <si>
    <t xml:space="preserve">Main Gearbox (MGB) Lubrication Pump - Inspection / Replacement
</t>
  </si>
  <si>
    <t>EASA 2007-0236</t>
  </si>
  <si>
    <t>Doors - Sliding Door Rear Roller Support Shaft and rear Fitting Inspection/Replacement</t>
  </si>
  <si>
    <t>C/W ASB 52.00.30 BY KNAUS HELICOPTERS</t>
  </si>
  <si>
    <t>ASB 52.00.30</t>
  </si>
  <si>
    <t>EASA 2007-0256</t>
  </si>
  <si>
    <t>Inspection/Replacement Seat Restraint System Plastic Rotary Buckle Handle</t>
  </si>
  <si>
    <t>ASB 05.00.52</t>
  </si>
  <si>
    <t>EASA 2007-0289</t>
  </si>
  <si>
    <t>Rotor flight controls-Collective lever recess-Modification. pre MOD 071995</t>
  </si>
  <si>
    <t>ASB 67.00.12 R2</t>
  </si>
  <si>
    <t>EASA 2008-0044</t>
  </si>
  <si>
    <t>Equipment / Furnishings - Rear Bench Seat and Sliding Doors - Limitation / Removal / Modification</t>
  </si>
  <si>
    <t>EASA 2008-0120</t>
  </si>
  <si>
    <t>Stabilizers - Upper and Lower Fin Attachment Fitting - Modification. MOD 073330</t>
  </si>
  <si>
    <t>SB 25.00.66</t>
  </si>
  <si>
    <t>Stabilizers - Upper and Lower Fin Attachment Fitting - Modification (MOD 073288 and 073330)</t>
  </si>
  <si>
    <t>Tail Rotor - Tail Rotor Blades Skin - Repair IAW repair sheet FR CN 376 or FR CN 453 referenced at ASB 55.00.38 R3.</t>
  </si>
  <si>
    <t>ASB 55.00.38 R3</t>
  </si>
  <si>
    <t>SUPERSEDED BY EASA AD 2009-0179-E</t>
  </si>
  <si>
    <t>EASA 2009-0173 R1</t>
  </si>
  <si>
    <t>Mode S Transponder - Modification / Replacement</t>
  </si>
  <si>
    <t>N/A DUE TO P/N INSTALLED</t>
  </si>
  <si>
    <t>EASA 2009-0179-E</t>
  </si>
  <si>
    <t>SUPERSEDED BY EASA AD 2009-0183-E</t>
  </si>
  <si>
    <t>Navigation - Mode S Transponder Aircraft Type Mode Strapping - Check / Modification</t>
  </si>
  <si>
    <t>N/A DUE TO SYSTEM IS NOT INSTALLED</t>
  </si>
  <si>
    <t>EASA 2009-0277R1</t>
  </si>
  <si>
    <t>EASA 2009-0183-CN
FAA 2010-03-02</t>
  </si>
  <si>
    <t>EASA 2009-0278</t>
  </si>
  <si>
    <t>EASA 2010-0003 R1</t>
  </si>
  <si>
    <t>EASA 2010-0006</t>
  </si>
  <si>
    <t>EASA 2010-0014</t>
  </si>
  <si>
    <t>EASA 2010-0061</t>
  </si>
  <si>
    <t>Fire Protection - Halon 1211 Fire Extinguishers - Identification / Replacement</t>
  </si>
  <si>
    <t>EASA 2010-0062 R1</t>
  </si>
  <si>
    <t>EASA 2010-0067</t>
  </si>
  <si>
    <t>Navigation - Mode S Transponder - Check / Modification.</t>
  </si>
  <si>
    <t>Tail Rotor Drive - Tail Gearbox (TGB) Control Lever - Inspection / Rework / Replacement. 10 H Insp iaw para. 2.B.1.a ASB 05.00.57 R1</t>
  </si>
  <si>
    <t xml:space="preserve"> ASB 05.00.57 R1</t>
  </si>
  <si>
    <t>EASA 2010-0082-E</t>
  </si>
  <si>
    <t>EASA 2009-0122R1</t>
  </si>
  <si>
    <t>EASA 2009-0124</t>
  </si>
  <si>
    <t>EASA 2009-0148-E</t>
  </si>
  <si>
    <t>F-1998-200</t>
  </si>
  <si>
    <t>Fuel injection system</t>
  </si>
  <si>
    <t>F-2000-532</t>
  </si>
  <si>
    <t>Fuel injection. ARRIUS 1 turboshaft engines</t>
  </si>
  <si>
    <t>A319 73 0071</t>
  </si>
  <si>
    <t>F-2005-063 R1</t>
  </si>
  <si>
    <t>Engine indicating - Test of free turbine overspeed protection system.</t>
  </si>
  <si>
    <t>A319 77 0804</t>
  </si>
  <si>
    <t>EASA 2008-0133</t>
  </si>
  <si>
    <t>Engine Fuel &amp; Control - Balancing Piston Life Limit - Reduction</t>
  </si>
  <si>
    <t>Air Equipment Electric Hoist installation</t>
  </si>
  <si>
    <t xml:space="preserve">ASB 05.00.40
ASB 05.00.51 </t>
  </si>
  <si>
    <t>SUPERSEDED BY EASA AD 2009-0029</t>
  </si>
  <si>
    <t>N/A, not installed</t>
  </si>
  <si>
    <t>SUPERSEDED BY EASA AD 2009-0148-E</t>
  </si>
  <si>
    <t>SUPERSEDED BY EASA AD 2009-0039</t>
  </si>
  <si>
    <t>EASA 2007-0138 R2</t>
  </si>
  <si>
    <t>EASA 2006-0251 R2</t>
  </si>
  <si>
    <t>SUPERSEDED BY EASA 2007-0209-E</t>
  </si>
  <si>
    <t xml:space="preserve">SUPERSEDED BY EASA 2010-0014 </t>
  </si>
  <si>
    <t>SUPERSEDED BY EASA 2008-0120</t>
  </si>
  <si>
    <t>SUPERSEDED BY AD 2007-0138-E</t>
  </si>
  <si>
    <t>SUPERSEDED BY EASA 2006-0378-E</t>
  </si>
  <si>
    <t>SUPERSEDED BY EASA 2006-0251</t>
  </si>
  <si>
    <t>SUPERSEDED BY EASA 2006-0273</t>
  </si>
  <si>
    <t xml:space="preserve">SUPERSEDED BY EASA AD 2006-0164 </t>
  </si>
  <si>
    <t>SUPERSEDED BY EASA AD 2006-0096</t>
  </si>
  <si>
    <t xml:space="preserve">SUPERSEDED BY DGAC AD F-2006-027 </t>
  </si>
  <si>
    <t xml:space="preserve">SUPERSEDED BY EASA AD 2006-0249 </t>
  </si>
  <si>
    <t xml:space="preserve">SUPERSEDED BY EASA AD 2006-0252 </t>
  </si>
  <si>
    <t>SUPERSEDED BY EASA AD 2006-0098</t>
  </si>
  <si>
    <t xml:space="preserve">SUPERSEDED BY EASA AD 2006-0250 </t>
  </si>
  <si>
    <t>SUPERSEDED BY EASA 2008-0044</t>
  </si>
  <si>
    <t>SUPERSEDED BY EASA 2009-0122</t>
  </si>
  <si>
    <t>SUPERSEDED BY EASA 2006-0235-E</t>
  </si>
  <si>
    <t>SUPERSEDED BY 2005-136</t>
  </si>
  <si>
    <t>SUPERSEDED BY 2006-0081</t>
  </si>
  <si>
    <t>SUPERSEDED BY EASA 2006-0100</t>
  </si>
  <si>
    <t>SUPERSEDED BY EASA 2006-0164</t>
  </si>
  <si>
    <t>N/A, ATC  KING KT76A INSTALLED</t>
  </si>
  <si>
    <t>EASA 2005-0021</t>
  </si>
  <si>
    <t>EASA 2006-0105-E</t>
  </si>
  <si>
    <t>EASA 2006-0160-CN</t>
  </si>
  <si>
    <t>EASA 2006-0220</t>
  </si>
  <si>
    <t>EASA 2006-0241</t>
  </si>
  <si>
    <t>EASA 2006-0269</t>
  </si>
  <si>
    <t>EASA 2006-0274</t>
  </si>
  <si>
    <t>EASA 2006-0375</t>
  </si>
  <si>
    <t>EASA 2006-0286 R1</t>
  </si>
  <si>
    <t>EASA 2006-0334 R1</t>
  </si>
  <si>
    <t>EASA 2007-0120</t>
  </si>
  <si>
    <t>EASA 2007-0156</t>
  </si>
  <si>
    <t>EASA 2008-0097</t>
  </si>
  <si>
    <t>EASA 2008-0135</t>
  </si>
  <si>
    <t>EASA 2008-0158 R2</t>
  </si>
  <si>
    <t>EASA 2008-0159</t>
  </si>
  <si>
    <t>EASA 2008-0183</t>
  </si>
  <si>
    <t>EASA 2009-0200</t>
  </si>
  <si>
    <t>EASA 2009-0262 R1</t>
  </si>
  <si>
    <t>EASA 2010-0009-E</t>
  </si>
  <si>
    <t>EASA 2010-0152</t>
  </si>
  <si>
    <t>EASA 2010-0186</t>
  </si>
  <si>
    <t>EASA 2010-0204</t>
  </si>
  <si>
    <t>N/A Installed:
Comunicación VHF 1 &amp; 2 BENDIX/KING KY 196A
Sistema de Audio NAT AMS‐43
Transponder BENDIX/KING KT76A</t>
  </si>
  <si>
    <t>N/A, Installed VHF 1 &amp; 2 BENDIX/KING KY 196A</t>
  </si>
  <si>
    <t>N/A, S/N  not installed</t>
  </si>
  <si>
    <t>EASA 2005-6225</t>
  </si>
  <si>
    <t>Equipment / Furnishings - Breeze 450 lb electric hoist</t>
  </si>
  <si>
    <t>EASA 2005-6127</t>
  </si>
  <si>
    <t>EASA 2005-2236</t>
  </si>
  <si>
    <t>Rotor flight controls - Yaw control</t>
  </si>
  <si>
    <t>AFT SUSPENSION BAR</t>
  </si>
  <si>
    <t>SCISSOR DRIVE ADAPTER</t>
  </si>
  <si>
    <t>355A37-1235-27</t>
  </si>
  <si>
    <t>BEVEL GEAR</t>
  </si>
  <si>
    <t>BEVEL WHEEL</t>
  </si>
  <si>
    <t>TIEMPO ACTUAL</t>
  </si>
  <si>
    <t>Inaer Sistema NAT AMS-43
ICA N° INAER.236-ICA</t>
  </si>
  <si>
    <t>Inaer Megafonía Exterior Fed. Signal ICA N° CMA150-ICA</t>
  </si>
  <si>
    <t>05.00.56</t>
  </si>
  <si>
    <t>ENGINE POWER (ASSURANCE) CHECK</t>
  </si>
  <si>
    <t>INFORME DE HORAS  Y  NOVEDADES DEL CC-ACW BASE PUERTO AYSEN</t>
  </si>
  <si>
    <t>Nº BIT</t>
  </si>
  <si>
    <t>LUGAR</t>
  </si>
  <si>
    <t>HORAS</t>
  </si>
  <si>
    <t>TOTAL HRS</t>
  </si>
  <si>
    <t>NG</t>
  </si>
  <si>
    <t>TOTAL</t>
  </si>
  <si>
    <t>NTL</t>
  </si>
  <si>
    <t>ATERRIZAJES</t>
  </si>
  <si>
    <t>CARGAS</t>
  </si>
  <si>
    <t>PARTIDAS</t>
  </si>
  <si>
    <t>TOTAL PART</t>
  </si>
  <si>
    <t>CICLOS GRUA</t>
  </si>
  <si>
    <t>TOTAL CICLOS</t>
  </si>
  <si>
    <t>PROXIMA</t>
  </si>
  <si>
    <t>OBSERVACIONES</t>
  </si>
  <si>
    <t>DE VUELO</t>
  </si>
  <si>
    <t>HOY HELO</t>
  </si>
  <si>
    <t>HELICOPTERO</t>
  </si>
  <si>
    <t>MOTOR 1</t>
  </si>
  <si>
    <t>MOTOR 2</t>
  </si>
  <si>
    <t>HOY</t>
  </si>
  <si>
    <t>NG MOTOR 1</t>
  </si>
  <si>
    <t>NG MOTOR 2</t>
  </si>
  <si>
    <t>NTL MOTOR 1</t>
  </si>
  <si>
    <t>NTL MOTOR 2</t>
  </si>
  <si>
    <t>CABLE GRUA</t>
  </si>
  <si>
    <t>GRUA</t>
  </si>
  <si>
    <t>INSPECCIONES</t>
  </si>
  <si>
    <t>MAYO  DEL 2011</t>
  </si>
  <si>
    <t>0001</t>
  </si>
  <si>
    <t>005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</si>
  <si>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</si>
  <si>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</si>
  <si>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</si>
  <si>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</si>
  <si>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</si>
  <si>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</si>
  <si>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</si>
  <si>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</si>
  <si>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</si>
  <si>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</si>
  <si>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</si>
  <si>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</si>
  <si>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</si>
  <si>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</si>
  <si>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</si>
  <si>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</si>
  <si>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</si>
  <si>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</si>
  <si>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</si>
  <si>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</si>
  <si>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PTO PIEDRA</t>
  </si>
  <si>
    <t>NOTA: DATOS SEGÚN BITACORA del 23 de Mayo del 2011</t>
  </si>
  <si>
    <t>HORAS PROXIMA INSPECCION DE 100 HRS 63,8 hrs</t>
  </si>
  <si>
    <t xml:space="preserve">DISCREPANCIAS  HELICOPTERO AS 355 N  CC-ACW </t>
  </si>
  <si>
    <t xml:space="preserve">TRABAJOS EFECTUADOS EN EL HELICOPTERO AS 355 N  CC-ACW </t>
  </si>
  <si>
    <t>Se aplico F-2005-063 R1 s/obs. Proxima aplicación Motor 1 : 4965,7 hrs, Motor 2 2136,0 hrs</t>
  </si>
  <si>
    <t>Se cambio landing light según Manual Mant.</t>
  </si>
  <si>
    <t>Repuesto de AS 350 B3 CC-CIX, Reponer repuesto</t>
  </si>
  <si>
    <t>Se cambio luz anticolision según Manual Mant.</t>
  </si>
  <si>
    <t>Se aplico F-1984.045.022 R4 s/osb. Proxima aplicación a las 2189,0 hrs helo</t>
  </si>
  <si>
    <t>Se aplico EASA 2010-006  s/osb. Proxima aplicación a las 2189,0 hrs helo</t>
  </si>
  <si>
    <t>NECESIDADES DE REPUESTOS</t>
  </si>
  <si>
    <t>LANDING LIGHT 150 W</t>
  </si>
  <si>
    <t>36-4626</t>
  </si>
  <si>
    <t>33.43.10.01.140</t>
  </si>
  <si>
    <t>CANT 1</t>
  </si>
  <si>
    <t>LIGHT,ANTI-COLLISION</t>
  </si>
  <si>
    <t>356H28-01</t>
  </si>
  <si>
    <t>33.42.10.03.20/A</t>
  </si>
  <si>
    <t>NECESIDADES DE DOCUMENTACION</t>
  </si>
  <si>
    <t>BITACORA DEL HOIST DE RESCATE</t>
  </si>
  <si>
    <t>ELEMENTOS POR VENCER</t>
  </si>
  <si>
    <t>LIMITE DE VIDA DE CABLE HOIST LE QUEDAN 103 CICLOS</t>
  </si>
  <si>
    <t>OVERHAUL DE HOIST CUMPLE EL 23-01 2012</t>
  </si>
  <si>
    <t>STRAP SAFETY 4 POINT CUMPLE EN 18-06-2011</t>
  </si>
  <si>
    <t>DISCREPANCIAS  HELICOPTERO</t>
  </si>
  <si>
    <t>FALTA LIMPIAPABRISA</t>
  </si>
  <si>
    <t>VHF FM MAL POSICIONADA TOCA CAMILLA</t>
  </si>
  <si>
    <t>SISTEMA DE GESTION DE FLOTA  INOPERATIVO</t>
  </si>
  <si>
    <t>CAMILLA RESCATE GRANDE, TOCA PROTECCION PEDALES COPILOTO</t>
  </si>
  <si>
    <t>NECESIDADES PERSONALES</t>
  </si>
  <si>
    <t>POLERAS MANGA LARGA EMPRESA</t>
  </si>
  <si>
    <t>EXIGIDA POR EL CLIENTE POR LA EXPOSICION SOLAR</t>
  </si>
  <si>
    <t>ZAPATOS ZONA SUR DETERIORADOS</t>
  </si>
  <si>
    <t>INVENTARIO DE LUBRICANTES BASE PUERTO AYSEN</t>
  </si>
  <si>
    <r>
      <t xml:space="preserve">                                                                                                                                             [</t>
    </r>
    <r>
      <rPr>
        <b/>
        <sz val="12"/>
        <color indexed="8"/>
        <rFont val="Calibri"/>
        <family val="2"/>
      </rPr>
      <t>desde 25 Abril hasta 25 Mayo]</t>
    </r>
  </si>
  <si>
    <t xml:space="preserve"> </t>
  </si>
  <si>
    <t>ITEM</t>
  </si>
  <si>
    <t>NOMBRE</t>
  </si>
  <si>
    <t>ENTRADO</t>
  </si>
  <si>
    <t>FECHA ULTIMA ACTUALIZACION</t>
  </si>
  <si>
    <t>SALIDO</t>
  </si>
  <si>
    <t>CC-CIX</t>
  </si>
  <si>
    <t>CC-CIU</t>
  </si>
  <si>
    <t>CC-CRA</t>
  </si>
  <si>
    <t>Mobil JET OIL 254</t>
  </si>
  <si>
    <t>Stock</t>
  </si>
  <si>
    <t>Litros</t>
  </si>
  <si>
    <t>Mobil  JET OIL II</t>
  </si>
  <si>
    <t>Aceite transmision ROYCO 586M</t>
  </si>
  <si>
    <t>Aeroshell Fluido 2 F</t>
  </si>
  <si>
    <t>Liquido hidraulico ROYCO 782</t>
  </si>
  <si>
    <t>Grasa 22</t>
  </si>
  <si>
    <t>kilos</t>
  </si>
  <si>
    <t>Grasa 7</t>
  </si>
  <si>
    <t>Grasa 355</t>
  </si>
  <si>
    <t>Adrox 6367</t>
  </si>
  <si>
    <t>MEK</t>
  </si>
  <si>
    <t>ALCOHOL IPA</t>
  </si>
  <si>
    <t xml:space="preserve"> MIL C-104.</t>
  </si>
  <si>
    <t>CONSUMOS DE LUBRICANTES HASTA EL 25 DE MAYO DEL 2011</t>
  </si>
  <si>
    <t>MOBIL JET 254</t>
  </si>
  <si>
    <t>1 LTS</t>
  </si>
  <si>
    <t>(descontado inventario)</t>
  </si>
  <si>
    <t>MOBIL JET 255</t>
  </si>
  <si>
    <t>CONSUMOS DE REPUESTOS HASTA EL 25 DE MAYO DEL 2011</t>
  </si>
  <si>
    <t>BUTTON BAT EPU</t>
  </si>
  <si>
    <t>045004A102A</t>
  </si>
  <si>
    <t>PLANILLA CONTROL DE CONFIABILIDAD</t>
  </si>
  <si>
    <t>ATRASOS</t>
  </si>
  <si>
    <t>CANCELACIONES</t>
  </si>
  <si>
    <t>% CONF.</t>
  </si>
  <si>
    <t>Sin vuelo / De Emergencia</t>
  </si>
  <si>
    <t>1/2 dia F/V / 1/2 dia E/V De Emergencia</t>
  </si>
  <si>
    <t>029</t>
  </si>
  <si>
    <t>030</t>
  </si>
  <si>
    <t>031</t>
  </si>
  <si>
    <t>032</t>
  </si>
  <si>
    <t>033</t>
  </si>
  <si>
    <t>034</t>
  </si>
  <si>
    <t>035</t>
  </si>
  <si>
    <t>036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</si>
  <si>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</si>
  <si>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</si>
  <si>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</si>
  <si>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</si>
  <si>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</si>
  <si>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</si>
  <si>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</si>
  <si>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</si>
  <si>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</si>
  <si>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</si>
  <si>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007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</si>
  <si>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</si>
  <si>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</si>
  <si>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</si>
  <si>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</si>
  <si>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</si>
  <si>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</si>
  <si>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</si>
  <si>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</si>
  <si>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</si>
  <si>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</si>
  <si>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</si>
  <si>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</si>
  <si>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</si>
  <si>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062</t>
  </si>
  <si>
    <t>063</t>
  </si>
  <si>
    <t>064</t>
  </si>
  <si>
    <t>065</t>
  </si>
  <si>
    <t>066</t>
  </si>
  <si>
    <t>067</t>
  </si>
  <si>
    <t>069</t>
  </si>
  <si>
    <t>068</t>
  </si>
  <si>
    <t>070</t>
  </si>
  <si>
    <t>EASA 2011-0104</t>
  </si>
  <si>
    <t xml:space="preserve">Tail Gearbox (TGB) Casing Assy </t>
  </si>
  <si>
    <t>ASB 65.00.22</t>
  </si>
  <si>
    <t>Emergency Flotation Gear attachment brackets</t>
  </si>
  <si>
    <t>ASB 05.00.63</t>
  </si>
  <si>
    <t>EASA 2011-0072</t>
  </si>
  <si>
    <t>AERONAVE</t>
  </si>
  <si>
    <t>071</t>
  </si>
  <si>
    <t>ENGINE LH</t>
  </si>
  <si>
    <t>ENGINE RH</t>
  </si>
  <si>
    <t>Tail Rotor Gearbox (TGB) control lever - Inspection</t>
  </si>
  <si>
    <t>ASB 05.00.57</t>
  </si>
  <si>
    <t>EASA 2011-0038-E</t>
  </si>
  <si>
    <t>ACW_06_2011</t>
  </si>
  <si>
    <t>EASA 2011-0103</t>
  </si>
  <si>
    <t>Analysis has shown that there is a pontential for electrostatic antenna</t>
  </si>
  <si>
    <t>Chelton SB02</t>
  </si>
  <si>
    <t>EASA 2011-0164</t>
  </si>
  <si>
    <t>Rotors Flight Control - Tail Rotor Control Stop Screws - Inspection</t>
  </si>
  <si>
    <t>ASB AS355-05.00.59</t>
  </si>
  <si>
    <t>110 FH</t>
  </si>
  <si>
    <t>VERIFICAR CUANDO EXISTA ALGUNA CORRECCION DE W&amp;B</t>
  </si>
  <si>
    <t>Analysis has shown that there is a potential for electronic antenna</t>
  </si>
  <si>
    <t xml:space="preserve">Cumplido </t>
  </si>
  <si>
    <t>M</t>
  </si>
  <si>
    <t>Interval 7 D</t>
  </si>
  <si>
    <t>SC</t>
  </si>
  <si>
    <t>Interval 36 Ms</t>
  </si>
  <si>
    <t>OPH</t>
  </si>
  <si>
    <t>FH</t>
  </si>
  <si>
    <t>Interval 10 FH</t>
  </si>
  <si>
    <t>Interval 25 FH</t>
  </si>
  <si>
    <t>Interval 100 FH</t>
  </si>
  <si>
    <t>TOTAL HRS AERONAVE</t>
  </si>
  <si>
    <t>TOTAL CIC AERONAVE</t>
  </si>
  <si>
    <t>PROXCUMPLIMIENTO</t>
  </si>
  <si>
    <t>ENGINE N°1 SCHEDULED INSPECTIONS</t>
  </si>
  <si>
    <t>ENGINE N°2 SCHEDULED INSPECTIONS</t>
  </si>
  <si>
    <t>Engine # 2 Hours                                                         125.8</t>
  </si>
  <si>
    <t>Engine # 2 Cycles NG</t>
  </si>
  <si>
    <t>Engine # 2 Cycles NTL ( NF)</t>
  </si>
  <si>
    <t>HC</t>
  </si>
  <si>
    <t>EASA 2010-0023 R2</t>
  </si>
  <si>
    <t>01-Abr-10
28-feb-12</t>
  </si>
  <si>
    <t>Fuselage - Engine and Main Gearbox Cowling Locking - Modification (AS 355 E, AS 355 F, AS 355 F1 and AS 355 F2 helicopters</t>
  </si>
  <si>
    <t>53.00.24</t>
  </si>
  <si>
    <t>AS 355 NP</t>
  </si>
  <si>
    <t xml:space="preserve">Interval BFF/ TA / ALF </t>
  </si>
  <si>
    <t>BFF/TA/ALF</t>
  </si>
  <si>
    <t>Interval 12 M</t>
  </si>
  <si>
    <t>D</t>
  </si>
  <si>
    <t>Interval 600 FH</t>
  </si>
  <si>
    <t>Interval 600 FH / 24 M</t>
  </si>
  <si>
    <t>Interval 1200 FH</t>
  </si>
  <si>
    <t>Interval 1200 FH / 48 M</t>
  </si>
  <si>
    <t>Interval 48 M</t>
  </si>
  <si>
    <t>Interval 5000 FH</t>
  </si>
  <si>
    <t>Interval 5000 FH / 144 M</t>
  </si>
  <si>
    <t>Interval 144 M</t>
  </si>
  <si>
    <t>AIRFRAME SCHEDULED MAINTENANCE PROGRAM - PERIODIC INTERVAL MSM 05-21 / 05-22 / 05-23 / 05-24</t>
  </si>
  <si>
    <t>AIRFRAME SCHEDULED MAINTENANCE PROGRAM - SPECIFIC PERIODIC MSM 05-25</t>
  </si>
  <si>
    <t>Interval 6 M / 50 HC</t>
  </si>
  <si>
    <t>Interval 1 M</t>
  </si>
  <si>
    <t>Interval 24 M / 500 SC</t>
  </si>
  <si>
    <t>Interval 24 M / 350 OPH</t>
  </si>
  <si>
    <t>Interval 3 M</t>
  </si>
  <si>
    <t>Interval 6 M</t>
  </si>
  <si>
    <t>Interval 96 M</t>
  </si>
  <si>
    <t>Interval 5400 FH</t>
  </si>
  <si>
    <t>Interval 300 FH</t>
  </si>
  <si>
    <t>Interval 200 FH</t>
  </si>
  <si>
    <t>Interval 3000 FH</t>
  </si>
  <si>
    <t>AIRFRAME SCHEDULED MAINTENANCE PROGRAM - ONE-OFF TIME LIMITS MSM 05-26</t>
  </si>
  <si>
    <t>Cabin anti-vibrator mount</t>
  </si>
  <si>
    <t>Tailboom-to-fuselage-junction</t>
  </si>
  <si>
    <t>Float</t>
  </si>
  <si>
    <t>Upper &amp; Lower fin</t>
  </si>
  <si>
    <t>MGB assembly - TGB assembly</t>
  </si>
  <si>
    <t>Main Rotor Blade Skin</t>
  </si>
  <si>
    <t>Main Rotor Blade</t>
  </si>
  <si>
    <t>Main rotor mast</t>
  </si>
  <si>
    <t>MGB - Magnetic plug with electric</t>
  </si>
  <si>
    <t>detection system</t>
  </si>
  <si>
    <t>MGB - Mineral / synthetic oil</t>
  </si>
  <si>
    <t>MGB - SOAP</t>
  </si>
  <si>
    <t>MGB - Suspension Bars</t>
  </si>
  <si>
    <t>Tail Rotor Blade</t>
  </si>
  <si>
    <t>TRB - Tracking fingers</t>
  </si>
  <si>
    <t>T/R Driveshaft</t>
  </si>
  <si>
    <t>TGB - Magnetic plug with electric</t>
  </si>
  <si>
    <t>TGB - SOAP</t>
  </si>
  <si>
    <t>TGB - Running-in oil</t>
  </si>
  <si>
    <t>TGB</t>
  </si>
  <si>
    <t>TGB - Attachment bolt</t>
  </si>
  <si>
    <t>Servocontrol, main</t>
  </si>
  <si>
    <t>Arrius Eng. Control - Adjusting the Auxiliary Control</t>
  </si>
  <si>
    <t>Starter Generator (524-062)</t>
  </si>
  <si>
    <t>N/A, equipment not installed</t>
  </si>
  <si>
    <t>Tropical &amp; damp atmosphere / Salt laden atmosphere</t>
  </si>
  <si>
    <t>After the introduction to service a new, overhauled or repaired component</t>
  </si>
  <si>
    <t>Each time after the component is installed</t>
  </si>
  <si>
    <t>If TGB is new or overhauled, change the running-in oil</t>
  </si>
  <si>
    <t>Each time after the component is installed - Check the Vibratory level</t>
  </si>
  <si>
    <t>PO</t>
  </si>
  <si>
    <t>22-10</t>
  </si>
  <si>
    <t>A/P TRIM ACTUATOR</t>
  </si>
  <si>
    <t>418-00529-102</t>
  </si>
  <si>
    <t>FC</t>
  </si>
  <si>
    <t>N/A AUTOPILOT SYSTEM NOT INSTALLED</t>
  </si>
  <si>
    <t>ELECTRIC HOIST 450 LBS - BREEZE</t>
  </si>
  <si>
    <t>BL29700-23</t>
  </si>
  <si>
    <t>LOAD RELEASE UNIT HOOK</t>
  </si>
  <si>
    <t>25-63</t>
  </si>
  <si>
    <t>25-81</t>
  </si>
  <si>
    <t>861-390</t>
  </si>
  <si>
    <t>ENG. FIRE EXTING. CYLINDER</t>
  </si>
  <si>
    <t>26-21</t>
  </si>
  <si>
    <t>28-00</t>
  </si>
  <si>
    <t>1400 RADAR ANTENNA</t>
  </si>
  <si>
    <t>4000504-0301</t>
  </si>
  <si>
    <t>34-42</t>
  </si>
  <si>
    <t>3000
36</t>
  </si>
  <si>
    <t>FH
M</t>
  </si>
  <si>
    <t>N/A, EQUIPMENT NOT INSTALLED</t>
  </si>
  <si>
    <t>63-20</t>
  </si>
  <si>
    <t>355A32-0701-00</t>
  </si>
  <si>
    <t>350A33-0200-06</t>
  </si>
  <si>
    <t>65-20</t>
  </si>
  <si>
    <t>67-30</t>
  </si>
  <si>
    <t>80-10</t>
  </si>
  <si>
    <t>25-00</t>
  </si>
  <si>
    <t>OTL</t>
  </si>
  <si>
    <t>FLOTATION GEAR - RH OUTER COVER</t>
  </si>
  <si>
    <t>200736-0</t>
  </si>
  <si>
    <t>25-62</t>
  </si>
  <si>
    <t>FLOTATION GEAR - LH OUTER COVER</t>
  </si>
  <si>
    <t>200735-0</t>
  </si>
  <si>
    <t>FLOTATION GEAR - CYLINDER</t>
  </si>
  <si>
    <t>200740-2</t>
  </si>
  <si>
    <t>FLOTATION GEAR - LH FLOAT</t>
  </si>
  <si>
    <t>200733-0</t>
  </si>
  <si>
    <t>200734-0</t>
  </si>
  <si>
    <t>ELECTRIC HOIST 450 LBS - CABLE</t>
  </si>
  <si>
    <t>TSM</t>
  </si>
  <si>
    <t>25-66</t>
  </si>
  <si>
    <t>ELT - BATTERY PACK KANNAD 406 AF-H</t>
  </si>
  <si>
    <t xml:space="preserve">ENG. FIRE EXTING. PYROTECHNIC CARTRIDGE </t>
  </si>
  <si>
    <t>861-450</t>
  </si>
  <si>
    <t>H1-10AIR</t>
  </si>
  <si>
    <t>26-22</t>
  </si>
  <si>
    <t>SEARCHLIGHT-GIMBAL</t>
  </si>
  <si>
    <t>019059-10</t>
  </si>
  <si>
    <t>33-45</t>
  </si>
  <si>
    <t>62-30</t>
  </si>
  <si>
    <t>MRM - SWASHPLATE  4 CONTACTS BEARING</t>
  </si>
  <si>
    <t>MGB - OIL FILTER ELEMENT</t>
  </si>
  <si>
    <t>FA01315A</t>
  </si>
  <si>
    <t>TAIL ROTOR DRIVE FAN - BEARING</t>
  </si>
  <si>
    <t>65-10</t>
  </si>
  <si>
    <t>TAIL ROTOR DRV SHAFT GREASABLE BEARING</t>
  </si>
  <si>
    <t>TRH PITCH CHANGE UNIT GREASABLE BRG</t>
  </si>
  <si>
    <t>ARRIUS - POTENT. OF COLLECTIVES AND YAW ANTICIPATORS</t>
  </si>
  <si>
    <t>76-06</t>
  </si>
  <si>
    <t>355A11-0030-04</t>
  </si>
  <si>
    <t>62-10</t>
  </si>
  <si>
    <t>SLL</t>
  </si>
  <si>
    <t>62-20</t>
  </si>
  <si>
    <t>MRH SPHERICAL THRUST BEARING BOLT</t>
  </si>
  <si>
    <t>SLEEVE LOWER FLANGE</t>
  </si>
  <si>
    <t>SLEEVE UPPER FLANGE</t>
  </si>
  <si>
    <t>NON-ROTATING SWASHPLATE</t>
  </si>
  <si>
    <t>MRH ATTACHMENT BOLT</t>
  </si>
  <si>
    <t>ENG TO MGB COUPLING - ENGINE SHAFT</t>
  </si>
  <si>
    <t>63-10</t>
  </si>
  <si>
    <t>COUPLING SHAFT HOUSING ASSY</t>
  </si>
  <si>
    <t>UNIVERSAL JOINT JAW</t>
  </si>
  <si>
    <t>355A35-2001-03</t>
  </si>
  <si>
    <t>SHAFT, FREE WHEEL</t>
  </si>
  <si>
    <t>FREE WHEEL</t>
  </si>
  <si>
    <t>355A32-2147-20</t>
  </si>
  <si>
    <t>355A32-2002-21</t>
  </si>
  <si>
    <t>MGB – PLANET GEAR HOLDER</t>
  </si>
  <si>
    <t>MGB SUMP CASING</t>
  </si>
  <si>
    <t>355A32-3184-20</t>
  </si>
  <si>
    <t>63-30</t>
  </si>
  <si>
    <t>64-10</t>
  </si>
  <si>
    <t>TAIL ROTOR BLADE HORN</t>
  </si>
  <si>
    <t>FWD SHAFT</t>
  </si>
  <si>
    <t>CENTRAL SHAFT</t>
  </si>
  <si>
    <t>TGB - BLADE HORN</t>
  </si>
  <si>
    <t>C05292</t>
  </si>
  <si>
    <t>M529</t>
  </si>
  <si>
    <t>M547</t>
  </si>
  <si>
    <t>M612</t>
  </si>
  <si>
    <t>M887</t>
  </si>
  <si>
    <t>M920</t>
  </si>
  <si>
    <t>M1859</t>
  </si>
  <si>
    <t>355A31-0002-01 N</t>
  </si>
  <si>
    <t>M3025</t>
  </si>
  <si>
    <t>350A31-1770-02</t>
  </si>
  <si>
    <t>MAP2989</t>
  </si>
  <si>
    <t>MAP3013</t>
  </si>
  <si>
    <t>MAP3027</t>
  </si>
  <si>
    <t>M14711</t>
  </si>
  <si>
    <t>M14851</t>
  </si>
  <si>
    <t>M14856</t>
  </si>
  <si>
    <t>M14648</t>
  </si>
  <si>
    <t>M14655</t>
  </si>
  <si>
    <t>M14675</t>
  </si>
  <si>
    <t>M2851</t>
  </si>
  <si>
    <t>M838</t>
  </si>
  <si>
    <t>NR6674</t>
  </si>
  <si>
    <t>350A37-1290-04</t>
  </si>
  <si>
    <t>FR496</t>
  </si>
  <si>
    <t>S2115</t>
  </si>
  <si>
    <t>CUR00014</t>
  </si>
  <si>
    <t>SD245</t>
  </si>
  <si>
    <t>SD293</t>
  </si>
  <si>
    <t>SD148</t>
  </si>
  <si>
    <t>SD297</t>
  </si>
  <si>
    <t>S1989</t>
  </si>
  <si>
    <t>S215</t>
  </si>
  <si>
    <t>FR554</t>
  </si>
  <si>
    <t>FR566</t>
  </si>
  <si>
    <t>M760</t>
  </si>
  <si>
    <t>M763</t>
  </si>
  <si>
    <t>PRD183</t>
  </si>
  <si>
    <t>PRD185</t>
  </si>
  <si>
    <t>NSN</t>
  </si>
  <si>
    <t>350A32-0120-00 M</t>
  </si>
  <si>
    <t>M7448</t>
  </si>
  <si>
    <t>L27200</t>
  </si>
  <si>
    <t>L27204</t>
  </si>
  <si>
    <t>L27229</t>
  </si>
  <si>
    <t>L27185</t>
  </si>
  <si>
    <t>L27242</t>
  </si>
  <si>
    <t>L3703</t>
  </si>
  <si>
    <t>MGB - FIXED RING GEAR</t>
  </si>
  <si>
    <t>350A32-1051-21</t>
  </si>
  <si>
    <t>L5940</t>
  </si>
  <si>
    <t>MGB - SUN GEAR</t>
  </si>
  <si>
    <t>350A32-1075-20</t>
  </si>
  <si>
    <t>M16</t>
  </si>
  <si>
    <t>COMBINED – GEARBOX ASSY</t>
  </si>
  <si>
    <t>355A32-0211-00 M</t>
  </si>
  <si>
    <t>M504</t>
  </si>
  <si>
    <t>M3315</t>
  </si>
  <si>
    <t>M3325</t>
  </si>
  <si>
    <t>ML0008</t>
  </si>
  <si>
    <t>ML0018</t>
  </si>
  <si>
    <t>M29</t>
  </si>
  <si>
    <t>355A32-0601-00 M</t>
  </si>
  <si>
    <t>M6004</t>
  </si>
  <si>
    <t>M25</t>
  </si>
  <si>
    <t>VERTICAL SHAFT</t>
  </si>
  <si>
    <t>350A32-3107-25</t>
  </si>
  <si>
    <t>350A32-3119-05</t>
  </si>
  <si>
    <t>MAP7127</t>
  </si>
  <si>
    <t>MAIN HOUSING</t>
  </si>
  <si>
    <t>350A32-3121-07</t>
  </si>
  <si>
    <t>MAP8044</t>
  </si>
  <si>
    <t>350A32-3165-20</t>
  </si>
  <si>
    <t>M745</t>
  </si>
  <si>
    <t>M176</t>
  </si>
  <si>
    <t>FR1169</t>
  </si>
  <si>
    <t>FR1179</t>
  </si>
  <si>
    <t>FR1166</t>
  </si>
  <si>
    <t>FR1176</t>
  </si>
  <si>
    <t>355A38-0031-01</t>
  </si>
  <si>
    <t>355A12-0050-10</t>
  </si>
  <si>
    <t>355A12-1368-04</t>
  </si>
  <si>
    <t>M2233</t>
  </si>
  <si>
    <t>M987</t>
  </si>
  <si>
    <t>M960</t>
  </si>
  <si>
    <t>MA2470</t>
  </si>
  <si>
    <t>L10115</t>
  </si>
  <si>
    <t>L8270</t>
  </si>
  <si>
    <t>MA14509</t>
  </si>
  <si>
    <t>MA03042</t>
  </si>
  <si>
    <t>MA13757</t>
  </si>
  <si>
    <t>MA13116</t>
  </si>
  <si>
    <t>350A33-2030-00</t>
  </si>
  <si>
    <t>MA3470</t>
  </si>
  <si>
    <t>NR2361</t>
  </si>
  <si>
    <t>28K1</t>
  </si>
  <si>
    <t>5752-1</t>
  </si>
  <si>
    <t>151CH-1</t>
  </si>
  <si>
    <t>504305-401</t>
  </si>
  <si>
    <t>502354-405-2251</t>
  </si>
  <si>
    <t>3 POINT BELT, PASSENGER SAFETY RE</t>
  </si>
  <si>
    <t>3491410-12-070</t>
  </si>
  <si>
    <t>HT</t>
  </si>
  <si>
    <t>I</t>
  </si>
  <si>
    <t>1-BATCH29</t>
  </si>
  <si>
    <t>1-BATCH34</t>
  </si>
  <si>
    <t>2-BATCH29</t>
  </si>
  <si>
    <t>2-BATCH34</t>
  </si>
  <si>
    <t>861-460</t>
  </si>
  <si>
    <t>ELECTRIC HOIST 450 LBS - PYROTECHNIC CARTRIDGE</t>
  </si>
  <si>
    <t>24-31</t>
  </si>
  <si>
    <t>ARRIUS 1A1</t>
  </si>
  <si>
    <t>EASA 2011-0244-E</t>
  </si>
  <si>
    <t>Lights – Position Strobe Light – Inspection / Deactivation</t>
  </si>
  <si>
    <t>ASB AS355-05.00.60</t>
  </si>
  <si>
    <t>EASA 2011-0192-E</t>
  </si>
  <si>
    <t>Fire Protection – Engine Fire Extinguisher System – Modification</t>
  </si>
  <si>
    <t>ASB AS355-26.00.09</t>
  </si>
  <si>
    <t>EASA 2006-0097R1</t>
  </si>
  <si>
    <t>F-2005-006</t>
  </si>
  <si>
    <t>N/A DUE TO ENGINE VERSION AND P/N 0 319 20 379 0 INSTALLED</t>
  </si>
  <si>
    <t>N/A BY ENGINE VERSION</t>
  </si>
  <si>
    <t>N/A BY ENGINE VERSION. INCLUDED IN COMPONENTS LL</t>
  </si>
  <si>
    <t>N/A BY ENGINE VERSION. INCLUDED IN COMPNENTS LL</t>
  </si>
  <si>
    <t>0319203790</t>
  </si>
  <si>
    <t>POWER TURBINE DISC</t>
  </si>
  <si>
    <t>05-10</t>
  </si>
  <si>
    <t>Inspection after each flight</t>
  </si>
  <si>
    <t>AEF</t>
  </si>
  <si>
    <t>Inspection after the last flight of the day</t>
  </si>
  <si>
    <t>Inspection 100 FH</t>
  </si>
  <si>
    <t>Inspection 1250 FH</t>
  </si>
  <si>
    <t>Inspection 500 FH</t>
  </si>
  <si>
    <t>05-15</t>
  </si>
  <si>
    <t>ULP</t>
  </si>
  <si>
    <t>POWER TURBINE BLADES</t>
  </si>
  <si>
    <t>231920A230</t>
  </si>
  <si>
    <t>Interval 150 FH</t>
  </si>
  <si>
    <t>Interval 150 FH / 12 M</t>
  </si>
  <si>
    <t>2-KJP R2</t>
  </si>
  <si>
    <t>Factory</t>
  </si>
  <si>
    <t>Interval 1800 FH</t>
  </si>
  <si>
    <t>N/A BY A/C NP VERSION</t>
  </si>
  <si>
    <t>N/A BY P/N ISTALLED.</t>
  </si>
  <si>
    <t>70EM012400</t>
  </si>
  <si>
    <t>70EM023010</t>
  </si>
  <si>
    <t>116 OTT</t>
  </si>
  <si>
    <t>AZF8036UP</t>
  </si>
  <si>
    <t>T72</t>
  </si>
  <si>
    <t>724XG</t>
  </si>
  <si>
    <t>APF6997UP</t>
  </si>
  <si>
    <t>N33</t>
  </si>
  <si>
    <t>0164310180</t>
  </si>
  <si>
    <t>0044920020</t>
  </si>
  <si>
    <t>0319308380</t>
  </si>
  <si>
    <t>0102C</t>
  </si>
  <si>
    <t>0103C</t>
  </si>
  <si>
    <t>0110C</t>
  </si>
  <si>
    <t>0112C</t>
  </si>
  <si>
    <t>0114C</t>
  </si>
  <si>
    <t>0115C</t>
  </si>
  <si>
    <t>0121C</t>
  </si>
  <si>
    <t>0130C</t>
  </si>
  <si>
    <t>0136C</t>
  </si>
  <si>
    <t>0140C</t>
  </si>
  <si>
    <t>N/A by operation type</t>
  </si>
  <si>
    <t>Interval 72 M
Initial 144M then Every 72M</t>
  </si>
  <si>
    <t>N/A , equipment not installed</t>
  </si>
  <si>
    <t>Ver Status de componentes</t>
  </si>
  <si>
    <t>Interval 60 M / 1 OPH Flotation Gear Cylinder</t>
  </si>
  <si>
    <t>N/A BY P/N INSTALLED.</t>
  </si>
  <si>
    <t>N/A. MOD EMBOIDED</t>
  </si>
  <si>
    <t>N/A BY BATTERY INSTALLED</t>
  </si>
  <si>
    <t>N/A. NP VERSION DELIVERED IN 2007</t>
  </si>
  <si>
    <t>N/A BY HOIST INSTALLED.</t>
  </si>
  <si>
    <t>N/A BY P/N INSTALLED AND A/C VERSION</t>
  </si>
  <si>
    <t>N/A. SYSTEM NOT INSTALLED</t>
  </si>
  <si>
    <t>N/A. OTHER HOIST INSTALLED.</t>
  </si>
  <si>
    <t>F-2002-345-070 R2</t>
  </si>
  <si>
    <t>N/A. A/C NEW</t>
  </si>
  <si>
    <t>F-2004-021 R1</t>
  </si>
  <si>
    <t>F-2004-046 R1</t>
  </si>
  <si>
    <t>N/A BY S/N INSTALLED AND A/C VERSION</t>
  </si>
  <si>
    <t>F-2005-087 R1</t>
  </si>
  <si>
    <t>F-2005-102 R2</t>
  </si>
  <si>
    <t>F-2005-136 R1</t>
  </si>
  <si>
    <t>FAA 2010-03-02</t>
  </si>
  <si>
    <t>Lifesaving Systems Corp. Supersedes EASA 2009-0183-E</t>
  </si>
  <si>
    <t>N/A. AMS COMPLIED AND NP VERSION</t>
  </si>
  <si>
    <t>N/A. NP VERSION AND MOD 073287 EMBOIDED.</t>
  </si>
  <si>
    <t>CANCELLED BY EASA 2012-0022</t>
  </si>
  <si>
    <t>N/A DUE TO GILHAM CODIFICATION IS NOT USED</t>
  </si>
  <si>
    <t>EASA 2006-0273</t>
  </si>
  <si>
    <t>EASA 2007-0139-E</t>
  </si>
  <si>
    <t>EASA 2007-0209-E</t>
  </si>
  <si>
    <t>N/A. COMPONENTS NOT INSTALLED</t>
  </si>
  <si>
    <t>N/A. MOD 07.1995 EMBOIDED IN PRODUCTION LINE</t>
  </si>
  <si>
    <t>N/A BY A/C VERSION AND MOD EMBOIDED</t>
  </si>
  <si>
    <t>EASA 2009-0029</t>
  </si>
  <si>
    <t>N/A DUE TO P/N 355A12-0050-10 INSTALLED</t>
  </si>
  <si>
    <t>EASA 2009-0039</t>
  </si>
  <si>
    <t>N/A DUE TO ON BOARD SYSTEM IS INSTALLED</t>
  </si>
  <si>
    <t>N/A BY P/N // S/N</t>
  </si>
  <si>
    <t>N/A DUE TO SYSTEM NOT INSTALLED</t>
  </si>
  <si>
    <t>CANCELLED BY EASA 2011-0038-E</t>
  </si>
  <si>
    <t>INITIAL INSPECTION PERFORMED UNDER WO 2-KJP BY HISPACOPTER</t>
  </si>
  <si>
    <t>EASA 2011-0093</t>
  </si>
  <si>
    <t>Emergency Locator Transmitter (ELT) Antenna - Modification / Replacement</t>
  </si>
  <si>
    <t>MOD IAW SB 02-2011 PERFORMED UNDER WO 100TL-KJP BY HISPACOPTER</t>
  </si>
  <si>
    <t>100TL-KJP</t>
  </si>
  <si>
    <t>INSPECTION PERFORMED IAW ASB 65.00.22 AND IT WAS FOUND NOT APPLICABLE DUE TO S/N UNDER WO
97TL-KJP</t>
  </si>
  <si>
    <t>97TL-KJP</t>
  </si>
  <si>
    <t>Initial Inspection performed under wo 105TL-KJP by Hispacopter</t>
  </si>
  <si>
    <t>Modification iaw ASB 26.00.09 Para 3.B.1 was performed under WO 107TL-KJP by Hispacopter</t>
  </si>
  <si>
    <t>107TL-KJP</t>
  </si>
  <si>
    <t>EASA 2011-0239</t>
  </si>
  <si>
    <t>Navigation - Radio Altimeter Indicator - Modification</t>
  </si>
  <si>
    <t>N/A DUE TO P/N 4679078A IS INSTALLED</t>
  </si>
  <si>
    <t>N/A due to Grimes-Honeywell power supply unit, P/N 60-1431-3 is not installed.
NOTE: Mod OP0811is part of a Basic Helicopter</t>
  </si>
  <si>
    <t>EASA 2012-0022</t>
  </si>
  <si>
    <t>Starter Generator - Check / Replacement / Modification. ASB 01.00.45 R2 // 80.00.12 R1</t>
  </si>
  <si>
    <t>Interval 100 FH / 6 M</t>
  </si>
  <si>
    <t>Interval 100 FH / 12 M</t>
  </si>
  <si>
    <t>Interval 150 FH / 3 M</t>
  </si>
  <si>
    <t>Interval 150 FH / 6 M</t>
  </si>
  <si>
    <t>Interval 500 FH / 24 M</t>
  </si>
  <si>
    <t>Interval 600 FH / 6 M</t>
  </si>
  <si>
    <t>Interval 1200 FH / 24M</t>
  </si>
  <si>
    <t>Interval 2000 FH / 72 M</t>
  </si>
  <si>
    <t>Interval 2400 FH / 72 M</t>
  </si>
  <si>
    <t>Interval 2500 FH / 48 M</t>
  </si>
  <si>
    <t>Interval 2500 FH / 72 M</t>
  </si>
  <si>
    <t>Interval 3000 FH / 72 M</t>
  </si>
  <si>
    <t>Interval 5000 FH / 72 M</t>
  </si>
  <si>
    <t>AERONAVE CC-AHT</t>
  </si>
  <si>
    <t>CC-AHT</t>
  </si>
  <si>
    <t>139 OTT</t>
  </si>
  <si>
    <t>AZF8477UP</t>
  </si>
  <si>
    <t>U22</t>
  </si>
  <si>
    <t>684XG</t>
  </si>
  <si>
    <t>APF7419UP</t>
  </si>
  <si>
    <t>P43</t>
  </si>
  <si>
    <t>0164310050</t>
  </si>
  <si>
    <t>0062M</t>
  </si>
  <si>
    <t>0101C</t>
  </si>
  <si>
    <t>0122C</t>
  </si>
  <si>
    <t>0123C</t>
  </si>
  <si>
    <t>0123MM</t>
  </si>
  <si>
    <t>0142C</t>
  </si>
  <si>
    <t>0144C</t>
  </si>
  <si>
    <t>0145C</t>
  </si>
  <si>
    <t>0153C</t>
  </si>
  <si>
    <t>0158C</t>
  </si>
  <si>
    <t>725</t>
  </si>
  <si>
    <t>839</t>
  </si>
  <si>
    <t>368</t>
  </si>
  <si>
    <t>43</t>
  </si>
  <si>
    <t>472</t>
  </si>
  <si>
    <t>416</t>
  </si>
  <si>
    <t>607</t>
  </si>
  <si>
    <t>11672/11673</t>
  </si>
  <si>
    <t>Motor Total Cycles NG</t>
  </si>
  <si>
    <t>CICLOS TOTALES NG</t>
  </si>
  <si>
    <t>CICLOS TOTALES NF</t>
  </si>
  <si>
    <t>N/A BY P/N 355A12-0050-10 ISTALLED.</t>
  </si>
  <si>
    <t>N/A BY P/N 350A32-0120-00 M INSTALLED</t>
  </si>
  <si>
    <t>N/A, HOIST P/N BL29700-23 with D-Lock Breeze Eastern installed</t>
  </si>
  <si>
    <t>REPEAT INSPECTION EVERY 30 FH</t>
  </si>
  <si>
    <t>2-KJP</t>
  </si>
  <si>
    <t>CMA066/2012</t>
  </si>
  <si>
    <t>AS355 NP</t>
  </si>
  <si>
    <t>5752</t>
  </si>
  <si>
    <t>AS 355NP  - CC-AHT</t>
  </si>
  <si>
    <t>VERIFICADO POR INAER</t>
  </si>
  <si>
    <t>INAER.238 Satcom Iridium Filcom Tech D1000C</t>
  </si>
  <si>
    <t>FLOTATION SYSTEM</t>
  </si>
  <si>
    <t>HOIST SYSTEM</t>
  </si>
  <si>
    <t>Aviatronic
O/T 399/12</t>
  </si>
  <si>
    <t>AR</t>
  </si>
  <si>
    <t>528-023-51</t>
  </si>
  <si>
    <t>03445</t>
  </si>
  <si>
    <t>10747/10749</t>
  </si>
  <si>
    <t>1152853</t>
  </si>
  <si>
    <t>LOAD RELEASE SYSTEM</t>
  </si>
  <si>
    <t>FLOTATION GEAR - RH FLOAT</t>
  </si>
  <si>
    <t>BL12606-1</t>
  </si>
  <si>
    <t>EC-KJP-1</t>
  </si>
  <si>
    <t>Y126581</t>
  </si>
  <si>
    <t>LOT CDI09F-001</t>
  </si>
  <si>
    <t>LOAD RELEASE UNIT HOOK (*)</t>
  </si>
  <si>
    <t>Aircraft Model:   AS355 NP      S/N: 5752</t>
  </si>
  <si>
    <t>Motor 2  Model:   ARRIUS 1A1  S/N: 3008</t>
  </si>
  <si>
    <t>Motor 1 Model:   ARRIUS 1A1  S/N: 3005</t>
  </si>
  <si>
    <t>DA 04 02</t>
  </si>
  <si>
    <t>Reemplazo de las desconexiones rápidas P/N 375200-12 y P/N 375504-12 de las líneas de aceite de la transmisión principal de helicópteros UH 1H y UH 1D.</t>
  </si>
  <si>
    <t>N/A POR FABRICANTE Y MODELO DE AERONAVE</t>
  </si>
  <si>
    <t>DA 79 02</t>
  </si>
  <si>
    <t>Verificar, antes del próximo vuelo, si la aeronave usa pernos NAS 636, como pernos de amarra de ala</t>
  </si>
  <si>
    <t>N/A POR TIPO DE AERONAVE</t>
  </si>
  <si>
    <t>DA 81 02</t>
  </si>
  <si>
    <t xml:space="preserve">toda aeronave que utilice hélice de paso fijo. </t>
  </si>
  <si>
    <t>DA 95 01</t>
  </si>
  <si>
    <t>Todas las aeronaves surplus de las FF.AA., tanto chilenas como extranjeras, que se presenten a primera certificación de aeronavegabilidad</t>
  </si>
  <si>
    <t>N/A AERONAVE NO SURPLUS DE LA FF.AA.</t>
  </si>
  <si>
    <t>ATA 25 - EQUIPMENTS - FURNIHINGS</t>
  </si>
  <si>
    <t>ATA 62 - EQUIPMENTS - FURNIHINGS</t>
  </si>
  <si>
    <t>Spherical thrust bearing</t>
  </si>
  <si>
    <t>Startflex Star</t>
  </si>
  <si>
    <t>Frequency Adapter</t>
  </si>
  <si>
    <t>62-20 MAIN ROTOR HEAD</t>
  </si>
  <si>
    <t>Rod</t>
  </si>
  <si>
    <t>Rotating and non-rotating swashplate</t>
  </si>
  <si>
    <t>ATA 63 - ROTOR DRIVE (S)</t>
  </si>
  <si>
    <t>63-10 ENGINE - TO - M.G.B. - COUPLING</t>
  </si>
  <si>
    <t>Flexible coupling - Engine</t>
  </si>
  <si>
    <t>63-20 MAIN GEARBOX</t>
  </si>
  <si>
    <t xml:space="preserve">Flexible coupling </t>
  </si>
  <si>
    <t>Oil Pump</t>
  </si>
  <si>
    <t>63-30 MGB MOUNT AND ATTACHMENT</t>
  </si>
  <si>
    <t>Suspension bar, front and rear</t>
  </si>
  <si>
    <t>Laminated Pads</t>
  </si>
  <si>
    <t>ATA 64 - TAIL ROTOR</t>
  </si>
  <si>
    <t>65-10 TAIL ROTOR DRIVE</t>
  </si>
  <si>
    <t>Tail rotor drive shaft - Greasable Bearing</t>
  </si>
  <si>
    <t>65-20 TAIL GEARBOX</t>
  </si>
  <si>
    <t>TGB - Pitch control lever hinge yoke</t>
  </si>
  <si>
    <t>ATA 65 - TAIL ROTOR DRIVE</t>
  </si>
  <si>
    <t>Incluida en Inspección ALF 05-20-00</t>
  </si>
  <si>
    <t>62-30 MAIN ROTOR MAST</t>
  </si>
  <si>
    <t>Tail rotor blade
355A12-0050-04 / -05</t>
  </si>
  <si>
    <t>N/A por P/N de pala instalada (P/N 355A12-0050-10)</t>
  </si>
  <si>
    <t>Electric Hoist
BL-29700-23</t>
  </si>
  <si>
    <t>MRH
355A31-0002-01</t>
  </si>
  <si>
    <t>Aplicar cuando sea removido</t>
  </si>
  <si>
    <t>NOTA: Las limitaciones de Aeronavegabilidad aplicable a los componentes se encuentran controlados en Components Status con intervalo SSL</t>
  </si>
  <si>
    <t>Equipo se encuentra removido</t>
  </si>
  <si>
    <t>64-10 TAIL ROTOR BLADE</t>
  </si>
  <si>
    <t>Se debe aplicar cada vez que pines de expansión sean reemplazados</t>
  </si>
  <si>
    <t xml:space="preserve">Se debe aplicar cuando MGB es removida, o cada vez que se requiera remover suspension bar - Despues de un Hard Landing - despues de un incipiente </t>
  </si>
  <si>
    <t>LIMITACIONES DE AERONAVEGABILIDAD CAPITULO 04</t>
  </si>
  <si>
    <t>CMA062/2012</t>
  </si>
  <si>
    <t>N/A, COMPLIED ON LINE PRODUCTION</t>
  </si>
  <si>
    <t>CMA080/2012</t>
  </si>
  <si>
    <t>BIT.012</t>
  </si>
  <si>
    <t>INCLUIDA EN CARTILLA INA 006</t>
  </si>
  <si>
    <t>MRH</t>
  </si>
  <si>
    <t>FILTER ELEMENT</t>
  </si>
  <si>
    <t>CH0549103352N00</t>
  </si>
  <si>
    <t>5-15</t>
  </si>
  <si>
    <t>EASA 2012-0205</t>
  </si>
  <si>
    <t>Doors – Sliding Door Lower Ball-joint – Modification</t>
  </si>
  <si>
    <t>ASB 52.00.26</t>
  </si>
  <si>
    <t>CMA103/2012</t>
  </si>
  <si>
    <t>EASA 2012-0257-E</t>
  </si>
  <si>
    <t>Tail Rotor-Laminated Half Bearing-Inspection</t>
  </si>
  <si>
    <t>EASB N° 05.00.63 Rev.01</t>
  </si>
  <si>
    <t>ALF
10 Hrs</t>
  </si>
  <si>
    <t>Cumplir en Cada ALF o 10 FH.-</t>
  </si>
  <si>
    <t>First aid kit - Inspection. Ref DAN 135 VOL2, APENDICE H</t>
  </si>
  <si>
    <t>CCAHT/001/2013</t>
  </si>
  <si>
    <t>S 1820516-99</t>
  </si>
  <si>
    <t>TM0000026065</t>
  </si>
  <si>
    <t>Indicado en 8130</t>
  </si>
  <si>
    <t>Interval 24 M</t>
  </si>
  <si>
    <t>Hrs con Carga</t>
  </si>
  <si>
    <t>CCAHT/002/2013</t>
  </si>
  <si>
    <t>CHILE</t>
  </si>
  <si>
    <t>Dart Installation of Bearpaws</t>
  </si>
  <si>
    <t>Dart Installation of Heli-Utility-Basket</t>
  </si>
  <si>
    <t>Instalacion de VHF/FM marca NAT modelo NPX-138N-70</t>
  </si>
  <si>
    <t>CCAHT/004/2013</t>
  </si>
  <si>
    <t>EASA 2013-0095-E</t>
  </si>
  <si>
    <t>Rotor Flight Controls – Main/Tail Rotor Servo-Control Bearings – Inspection / Replacement</t>
  </si>
  <si>
    <t>ASB No. 67.00.41</t>
  </si>
  <si>
    <t>N/A by Servos Serial Number Installed</t>
  </si>
  <si>
    <t>Complied by Inaer</t>
  </si>
  <si>
    <t>DA 2010-01 R1</t>
  </si>
  <si>
    <t>N/A POR P/N DE STARFLEX 350A31-1918-00</t>
  </si>
  <si>
    <t>N/A POR P/N BEARING 704A33651181</t>
  </si>
  <si>
    <t xml:space="preserve">Pitch Change Links </t>
  </si>
  <si>
    <t>INCLUIDO EN CARTILLA INA 006</t>
  </si>
  <si>
    <t xml:space="preserve">Dart Vertical Reference Window </t>
  </si>
  <si>
    <t>CCAHT/006/2013</t>
  </si>
  <si>
    <t>UO4537</t>
  </si>
  <si>
    <t>HOSE</t>
  </si>
  <si>
    <t>S/S</t>
  </si>
  <si>
    <t>HOSE OIL RETURN</t>
  </si>
  <si>
    <t>160301679D</t>
  </si>
  <si>
    <t>HARNESS SEAT TWO PLACE</t>
  </si>
  <si>
    <t>VIBRATION DAMPER, SPRING TYPE</t>
  </si>
  <si>
    <t>350A31-0033-06</t>
  </si>
  <si>
    <t>355A34-1090-00</t>
  </si>
  <si>
    <t>OH= Overhaul    CHK= Check     OTL= Operating Time Limit       SLL= Service Life Limit    TSM= Time Since Manufacturer    ULP= Use-Limited Parts     O/C= On Condition</t>
  </si>
  <si>
    <t>UWLB / CVFDR</t>
  </si>
  <si>
    <t>DK120</t>
  </si>
  <si>
    <t>SD14764</t>
  </si>
  <si>
    <t>31</t>
  </si>
  <si>
    <t>LLP</t>
  </si>
  <si>
    <t>FDR/CVR, modelo FA2100CVDR (PT. 257AHT2)</t>
  </si>
  <si>
    <t>DAN 135</t>
  </si>
  <si>
    <t>INSPECCIONAR ANUALMENTE</t>
  </si>
  <si>
    <t>INSPECCIONAR CADA 5 AÑOS</t>
  </si>
  <si>
    <t>CCAHT/010/2013</t>
  </si>
  <si>
    <t>704A33651181
(593404)</t>
  </si>
  <si>
    <t>FAA 2001-23-17</t>
  </si>
  <si>
    <t>FAA 2005-01-19</t>
  </si>
  <si>
    <t>GNS 430 units that are specified in paragraph (a)(1) of this AD and are installed on aircraft.</t>
  </si>
  <si>
    <t>Garmin SB N°9905</t>
  </si>
  <si>
    <t>GARMIN International Inc. GTX 33, GTX 33D, GTX 330, and GTX 330D Mode S transponders that include software versions 3.00, 3.01, 3.02, 3.04, or 3.05 that are installed on, but not limited to, the following airplanes, certificated in any category</t>
  </si>
  <si>
    <t>Garmin SB N°0304</t>
  </si>
  <si>
    <t>N/A, Installed transponder mode C only</t>
  </si>
  <si>
    <t>N/A, S/N 9713781 installed</t>
  </si>
  <si>
    <t>CANCELED BY EASA AD 2011-0103</t>
  </si>
  <si>
    <t>BIT.109</t>
  </si>
  <si>
    <t>EASA 2013-0130</t>
  </si>
  <si>
    <t>Time Limits / Maintenance Checks – Airworthiness Limitations – Revision</t>
  </si>
  <si>
    <t>ALS 355N
2ndEd.Rev,2</t>
  </si>
  <si>
    <t>Incorporated on Maintenance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</si>
</sst>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d/m/yyyy"/>
    <numFmt numFmtId="165" formatCode="&quot;Santiago, &quot;\ d&quot; de &quot;mmmm&quot; del &quot;yyyy"/>
    <numFmt numFmtId="166" formatCode="0\ &quot;FH&quot;"/>
    <numFmt numFmtId="167" formatCode="0.0"/>
    <numFmt numFmtId="168" formatCode="dd/mmmm/yy;@"/>
    <numFmt numFmtId="169" formatCode="#,##0.0"/>
    <numFmt numFmtId="170" formatCode="0\ &quot;Hrs&quot;"/>
    <numFmt numFmtId="171" formatCode="0.0\ &quot;Hrs&quot;"/>
    <numFmt numFmtId="172" formatCode="d\-mmm\-yyyy"/>
    <numFmt numFmtId="173" formatCode="0\ &quot;Dys&quot;"/>
    <numFmt numFmtId="174" formatCode="0\ &quot;Yrs&quot;"/>
    <numFmt numFmtId="175" formatCode="[hhh]:mm"/>
    <numFmt numFmtId="176" formatCode="0.0%"/>
    <numFmt numFmtId="177" formatCode="[$-409]d\-mmm\-yy;@"/>
    <numFmt numFmtId="178" formatCode="0.0\ &quot;FH&quot;"/>
    <numFmt numFmtId="179" formatCode="0\ &quot;M&quot;"/>
    <numFmt numFmtId="180" formatCode="0\ &quot;D&quot;"/>
    <numFmt numFmtId="181" formatCode="0.0\ &quot;Ds&quot;"/>
  </numFmts>
  <fonts count="6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12"/>
      <color indexed="12"/>
      <name val="Arial"/>
      <family val="2"/>
    </font>
    <font>
      <sz val="11"/>
      <color indexed="12"/>
      <name val="Arial"/>
      <family val="2"/>
    </font>
    <font>
      <sz val="8"/>
      <name val="Calibri"/>
      <family val="2"/>
    </font>
    <font>
      <b/>
      <sz val="16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indexed="18"/>
      <name val="Arial Narrow"/>
      <family val="2"/>
    </font>
    <font>
      <b/>
      <sz val="14"/>
      <color indexed="18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indexed="43"/>
      <name val="Arial Narrow"/>
      <family val="2"/>
    </font>
    <font>
      <sz val="10"/>
      <color indexed="9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u/>
      <sz val="9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FF"/>
      <name val="Arial Narrow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7" tint="-0.249977111117893"/>
      <name val="Calibri"/>
      <family val="2"/>
      <scheme val="minor"/>
    </font>
    <font>
      <b/>
      <sz val="8"/>
      <color theme="7" tint="-0.249977111117893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darkUp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darkTrellis">
        <bgColor theme="2" tint="-0.24997711111789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darkUp">
        <fgColor indexed="23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rgb="FFFE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>
        <bgColor theme="0"/>
      </patternFill>
    </fill>
    <fill>
      <patternFill patternType="darkUp">
        <fgColor theme="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</cellStyleXfs>
  <cellXfs count="1848">
    <xf numFmtId="0" fontId="0" fillId="0" borderId="0" xfId="0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0" borderId="0" xfId="0" applyFont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15" fontId="20" fillId="0" borderId="0" xfId="0" applyNumberFormat="1" applyFont="1" applyAlignment="1">
      <alignment horizontal="center"/>
    </xf>
    <xf numFmtId="167" fontId="21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/>
    </xf>
    <xf numFmtId="0" fontId="21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/>
    </xf>
    <xf numFmtId="1" fontId="21" fillId="0" borderId="0" xfId="0" applyNumberFormat="1" applyFont="1" applyFill="1" applyBorder="1" applyAlignment="1">
      <alignment horizontal="left"/>
    </xf>
    <xf numFmtId="15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169" fontId="14" fillId="0" borderId="2" xfId="0" applyNumberFormat="1" applyFont="1" applyFill="1" applyBorder="1" applyAlignment="1">
      <alignment horizontal="right" vertical="center" wrapText="1"/>
    </xf>
    <xf numFmtId="15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4" xfId="0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horizontal="right" vertical="center" wrapText="1"/>
    </xf>
    <xf numFmtId="169" fontId="14" fillId="0" borderId="5" xfId="0" applyNumberFormat="1" applyFont="1" applyFill="1" applyBorder="1" applyAlignment="1">
      <alignment horizontal="right" vertical="center" wrapText="1"/>
    </xf>
    <xf numFmtId="15" fontId="14" fillId="0" borderId="4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1" fontId="14" fillId="0" borderId="9" xfId="0" applyNumberFormat="1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15" fontId="14" fillId="0" borderId="9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5" fontId="14" fillId="0" borderId="7" xfId="0" applyNumberFormat="1" applyFont="1" applyFill="1" applyBorder="1" applyAlignment="1">
      <alignment horizontal="right" vertical="center" wrapText="1"/>
    </xf>
    <xf numFmtId="1" fontId="14" fillId="0" borderId="8" xfId="0" applyNumberFormat="1" applyFont="1" applyFill="1" applyBorder="1" applyAlignment="1">
      <alignment horizontal="left" vertical="center" wrapText="1"/>
    </xf>
    <xf numFmtId="169" fontId="14" fillId="0" borderId="7" xfId="0" applyNumberFormat="1" applyFont="1" applyFill="1" applyBorder="1" applyAlignment="1">
      <alignment horizontal="right" vertical="center" wrapText="1"/>
    </xf>
    <xf numFmtId="3" fontId="14" fillId="0" borderId="7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 wrapText="1"/>
    </xf>
    <xf numFmtId="167" fontId="14" fillId="0" borderId="6" xfId="0" applyNumberFormat="1" applyFont="1" applyFill="1" applyBorder="1" applyAlignment="1">
      <alignment horizontal="right" vertical="center" wrapText="1"/>
    </xf>
    <xf numFmtId="167" fontId="14" fillId="0" borderId="4" xfId="0" applyNumberFormat="1" applyFont="1" applyFill="1" applyBorder="1" applyAlignment="1">
      <alignment horizontal="left" vertical="center" wrapText="1"/>
    </xf>
    <xf numFmtId="167" fontId="14" fillId="0" borderId="8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9" fontId="14" fillId="0" borderId="0" xfId="0" applyNumberFormat="1" applyFont="1" applyFill="1" applyBorder="1" applyAlignment="1">
      <alignment horizontal="right" vertical="center" wrapText="1"/>
    </xf>
    <xf numFmtId="15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69" fontId="22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167" fontId="14" fillId="0" borderId="0" xfId="0" applyNumberFormat="1" applyFont="1" applyFill="1" applyBorder="1" applyAlignment="1">
      <alignment horizontal="right" vertical="center" wrapText="1"/>
    </xf>
    <xf numFmtId="167" fontId="14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Border="1"/>
    <xf numFmtId="0" fontId="14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  <xf numFmtId="15" fontId="20" fillId="0" borderId="0" xfId="0" applyNumberFormat="1" applyFont="1" applyBorder="1"/>
    <xf numFmtId="0" fontId="20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15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left" vertical="center"/>
    </xf>
    <xf numFmtId="1" fontId="21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5" fontId="20" fillId="0" borderId="0" xfId="0" applyNumberFormat="1" applyFont="1" applyBorder="1" applyAlignment="1">
      <alignment horizontal="center"/>
    </xf>
    <xf numFmtId="0" fontId="14" fillId="0" borderId="0" xfId="2" applyFont="1" applyFill="1"/>
    <xf numFmtId="0" fontId="14" fillId="0" borderId="0" xfId="2" applyFont="1" applyFill="1" applyAlignment="1"/>
    <xf numFmtId="0" fontId="14" fillId="0" borderId="0" xfId="2" applyFont="1" applyFill="1" applyAlignment="1">
      <alignment horizontal="left"/>
    </xf>
    <xf numFmtId="0" fontId="14" fillId="0" borderId="0" xfId="2" applyFont="1" applyFill="1" applyAlignment="1">
      <alignment horizontal="center"/>
    </xf>
    <xf numFmtId="0" fontId="14" fillId="0" borderId="0" xfId="2" applyFont="1" applyFill="1" applyAlignment="1">
      <alignment horizontal="right"/>
    </xf>
    <xf numFmtId="0" fontId="21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vertical="center"/>
    </xf>
    <xf numFmtId="0" fontId="21" fillId="0" borderId="0" xfId="2" applyFont="1" applyFill="1" applyAlignment="1">
      <alignment horizontal="left" vertical="center"/>
    </xf>
    <xf numFmtId="0" fontId="21" fillId="0" borderId="0" xfId="2" applyFont="1" applyFill="1" applyAlignment="1">
      <alignment horizontal="right" vertical="center"/>
    </xf>
    <xf numFmtId="0" fontId="25" fillId="0" borderId="0" xfId="2" applyFont="1" applyFill="1"/>
    <xf numFmtId="0" fontId="25" fillId="0" borderId="0" xfId="2" applyFont="1" applyFill="1" applyBorder="1" applyAlignment="1">
      <alignment horizontal="center" vertical="center"/>
    </xf>
    <xf numFmtId="0" fontId="25" fillId="0" borderId="0" xfId="2" applyFont="1" applyFill="1" applyBorder="1"/>
    <xf numFmtId="0" fontId="25" fillId="0" borderId="10" xfId="2" applyFont="1" applyFill="1" applyBorder="1" applyAlignment="1">
      <alignment horizontal="center" vertical="center"/>
    </xf>
    <xf numFmtId="0" fontId="25" fillId="0" borderId="0" xfId="2" applyFont="1" applyFill="1" applyAlignment="1">
      <alignment vertical="center"/>
    </xf>
    <xf numFmtId="0" fontId="25" fillId="0" borderId="0" xfId="2" applyFont="1" applyFill="1" applyAlignment="1">
      <alignment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2" borderId="7" xfId="2" applyFont="1" applyFill="1" applyBorder="1" applyAlignment="1">
      <alignment horizontal="right" vertical="center" wrapText="1"/>
    </xf>
    <xf numFmtId="0" fontId="25" fillId="2" borderId="12" xfId="0" applyFont="1" applyFill="1" applyBorder="1" applyAlignment="1">
      <alignment horizontal="left" vertical="center" wrapText="1"/>
    </xf>
    <xf numFmtId="3" fontId="26" fillId="0" borderId="7" xfId="2" applyNumberFormat="1" applyFont="1" applyFill="1" applyBorder="1" applyAlignment="1">
      <alignment horizontal="righ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7" xfId="2" applyFont="1" applyFill="1" applyBorder="1" applyAlignment="1">
      <alignment horizontal="center" vertical="center" wrapText="1"/>
    </xf>
    <xf numFmtId="15" fontId="25" fillId="0" borderId="15" xfId="2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vertical="center"/>
    </xf>
    <xf numFmtId="0" fontId="25" fillId="3" borderId="8" xfId="0" applyFont="1" applyFill="1" applyBorder="1" applyAlignment="1">
      <alignment horizontal="left" vertical="center"/>
    </xf>
    <xf numFmtId="167" fontId="25" fillId="0" borderId="7" xfId="0" applyNumberFormat="1" applyFont="1" applyFill="1" applyBorder="1" applyAlignment="1">
      <alignment horizontal="right" vertical="center"/>
    </xf>
    <xf numFmtId="0" fontId="25" fillId="0" borderId="8" xfId="0" applyFont="1" applyFill="1" applyBorder="1" applyAlignment="1">
      <alignment horizontal="left" vertical="center"/>
    </xf>
    <xf numFmtId="0" fontId="25" fillId="3" borderId="5" xfId="0" applyFont="1" applyFill="1" applyBorder="1" applyAlignment="1">
      <alignment vertical="center"/>
    </xf>
    <xf numFmtId="0" fontId="25" fillId="3" borderId="6" xfId="0" applyFont="1" applyFill="1" applyBorder="1" applyAlignment="1">
      <alignment horizontal="left" vertical="center"/>
    </xf>
    <xf numFmtId="0" fontId="25" fillId="3" borderId="19" xfId="0" applyFont="1" applyFill="1" applyBorder="1" applyAlignment="1">
      <alignment vertical="center"/>
    </xf>
    <xf numFmtId="167" fontId="25" fillId="0" borderId="5" xfId="0" applyNumberFormat="1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left" vertical="center"/>
    </xf>
    <xf numFmtId="0" fontId="25" fillId="2" borderId="21" xfId="2" applyFont="1" applyFill="1" applyBorder="1" applyAlignment="1">
      <alignment horizontal="right" vertical="center" wrapText="1"/>
    </xf>
    <xf numFmtId="0" fontId="25" fillId="3" borderId="12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vertical="center"/>
    </xf>
    <xf numFmtId="0" fontId="25" fillId="0" borderId="23" xfId="2" applyFont="1" applyFill="1" applyBorder="1" applyAlignment="1">
      <alignment horizontal="center" vertical="center" wrapText="1"/>
    </xf>
    <xf numFmtId="167" fontId="25" fillId="0" borderId="7" xfId="2" applyNumberFormat="1" applyFont="1" applyFill="1" applyBorder="1" applyAlignment="1">
      <alignment vertical="center" wrapText="1"/>
    </xf>
    <xf numFmtId="0" fontId="25" fillId="3" borderId="8" xfId="0" applyFont="1" applyFill="1" applyBorder="1" applyAlignment="1">
      <alignment vertical="center"/>
    </xf>
    <xf numFmtId="169" fontId="26" fillId="0" borderId="23" xfId="2" applyNumberFormat="1" applyFont="1" applyFill="1" applyBorder="1" applyAlignment="1">
      <alignment vertical="center" wrapText="1"/>
    </xf>
    <xf numFmtId="0" fontId="26" fillId="3" borderId="24" xfId="0" applyFont="1" applyFill="1" applyBorder="1" applyAlignment="1">
      <alignment horizontal="left" vertical="center"/>
    </xf>
    <xf numFmtId="0" fontId="26" fillId="3" borderId="13" xfId="0" applyFont="1" applyFill="1" applyBorder="1" applyAlignment="1">
      <alignment horizontal="left" vertical="center"/>
    </xf>
    <xf numFmtId="0" fontId="26" fillId="3" borderId="25" xfId="0" applyFont="1" applyFill="1" applyBorder="1" applyAlignment="1">
      <alignment horizontal="left" vertical="center"/>
    </xf>
    <xf numFmtId="0" fontId="25" fillId="3" borderId="11" xfId="0" applyFont="1" applyFill="1" applyBorder="1" applyAlignment="1">
      <alignment vertical="center"/>
    </xf>
    <xf numFmtId="0" fontId="25" fillId="3" borderId="11" xfId="0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right" vertical="center"/>
    </xf>
    <xf numFmtId="169" fontId="26" fillId="0" borderId="14" xfId="2" applyNumberFormat="1" applyFont="1" applyFill="1" applyBorder="1" applyAlignment="1">
      <alignment horizontal="right" vertical="center" wrapText="1"/>
    </xf>
    <xf numFmtId="0" fontId="25" fillId="3" borderId="26" xfId="0" applyFont="1" applyFill="1" applyBorder="1" applyAlignment="1">
      <alignment vertical="center"/>
    </xf>
    <xf numFmtId="0" fontId="25" fillId="3" borderId="26" xfId="0" applyFont="1" applyFill="1" applyBorder="1" applyAlignment="1">
      <alignment horizontal="left"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right" vertical="center"/>
    </xf>
    <xf numFmtId="0" fontId="13" fillId="0" borderId="0" xfId="0" applyFont="1" applyAlignment="1">
      <alignment vertical="center" wrapText="1"/>
    </xf>
    <xf numFmtId="15" fontId="13" fillId="0" borderId="0" xfId="0" applyNumberFormat="1" applyFont="1" applyAlignment="1">
      <alignment horizontal="center" vertical="center" wrapText="1"/>
    </xf>
    <xf numFmtId="15" fontId="1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right" vertical="center" wrapText="1"/>
    </xf>
    <xf numFmtId="166" fontId="13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5" fontId="17" fillId="0" borderId="27" xfId="0" applyNumberFormat="1" applyFont="1" applyBorder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15" fontId="14" fillId="0" borderId="9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right" vertical="center" wrapText="1"/>
    </xf>
    <xf numFmtId="166" fontId="14" fillId="0" borderId="28" xfId="0" applyNumberFormat="1" applyFont="1" applyBorder="1" applyAlignment="1">
      <alignment horizontal="center" vertical="center" wrapText="1"/>
    </xf>
    <xf numFmtId="164" fontId="14" fillId="0" borderId="21" xfId="0" applyNumberFormat="1" applyFont="1" applyBorder="1" applyAlignment="1">
      <alignment vertical="center" wrapText="1"/>
    </xf>
    <xf numFmtId="164" fontId="45" fillId="0" borderId="28" xfId="0" applyNumberFormat="1" applyFont="1" applyBorder="1" applyAlignment="1">
      <alignment vertical="center" wrapText="1"/>
    </xf>
    <xf numFmtId="164" fontId="14" fillId="0" borderId="8" xfId="0" applyNumberFormat="1" applyFont="1" applyBorder="1" applyAlignment="1">
      <alignment vertical="center" wrapText="1"/>
    </xf>
    <xf numFmtId="0" fontId="14" fillId="0" borderId="15" xfId="0" applyFont="1" applyBorder="1" applyAlignment="1">
      <alignment horizontal="right" vertical="center" wrapText="1"/>
    </xf>
    <xf numFmtId="15" fontId="14" fillId="0" borderId="8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right" vertical="center" wrapText="1"/>
    </xf>
    <xf numFmtId="15" fontId="21" fillId="0" borderId="9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justify" vertical="center" wrapText="1"/>
    </xf>
    <xf numFmtId="15" fontId="20" fillId="0" borderId="4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right" vertical="center" wrapText="1"/>
    </xf>
    <xf numFmtId="15" fontId="14" fillId="0" borderId="4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164" fontId="14" fillId="0" borderId="30" xfId="0" applyNumberFormat="1" applyFont="1" applyBorder="1" applyAlignment="1">
      <alignment vertical="center" wrapText="1"/>
    </xf>
    <xf numFmtId="164" fontId="45" fillId="0" borderId="31" xfId="0" applyNumberFormat="1" applyFont="1" applyBorder="1" applyAlignment="1">
      <alignment vertical="center" wrapText="1"/>
    </xf>
    <xf numFmtId="0" fontId="21" fillId="0" borderId="29" xfId="0" applyFont="1" applyBorder="1" applyAlignment="1">
      <alignment horizontal="right" vertical="center" wrapText="1"/>
    </xf>
    <xf numFmtId="15" fontId="21" fillId="0" borderId="4" xfId="0" applyNumberFormat="1" applyFont="1" applyBorder="1" applyAlignment="1">
      <alignment horizontal="center" vertical="center" wrapText="1"/>
    </xf>
    <xf numFmtId="0" fontId="21" fillId="0" borderId="31" xfId="0" applyFont="1" applyBorder="1" applyAlignment="1">
      <alignment horizontal="justify" vertical="center" wrapText="1"/>
    </xf>
    <xf numFmtId="0" fontId="14" fillId="0" borderId="31" xfId="0" applyFont="1" applyBorder="1" applyAlignment="1">
      <alignment horizontal="justify" vertical="center" wrapText="1"/>
    </xf>
    <xf numFmtId="15" fontId="20" fillId="0" borderId="9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15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164" fontId="4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164" fontId="14" fillId="0" borderId="0" xfId="0" applyNumberFormat="1" applyFont="1" applyAlignment="1">
      <alignment horizontal="right" vertical="center" wrapText="1"/>
    </xf>
    <xf numFmtId="166" fontId="14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0" fillId="0" borderId="0" xfId="0" applyFill="1"/>
    <xf numFmtId="0" fontId="3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0" fillId="0" borderId="3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5" fontId="4" fillId="0" borderId="22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5" fillId="0" borderId="0" xfId="0" applyFont="1" applyFill="1" applyBorder="1" applyAlignment="1"/>
    <xf numFmtId="0" fontId="10" fillId="0" borderId="22" xfId="0" applyFont="1" applyFill="1" applyBorder="1" applyAlignment="1">
      <alignment horizontal="right"/>
    </xf>
    <xf numFmtId="0" fontId="5" fillId="0" borderId="0" xfId="0" applyFont="1" applyFill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22" xfId="0" applyFont="1" applyFill="1" applyBorder="1" applyAlignment="1"/>
    <xf numFmtId="1" fontId="6" fillId="0" borderId="0" xfId="0" applyNumberFormat="1" applyFont="1" applyFill="1" applyBorder="1" applyAlignment="1">
      <alignment horizontal="right"/>
    </xf>
    <xf numFmtId="1" fontId="6" fillId="0" borderId="22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/>
    <xf numFmtId="0" fontId="0" fillId="0" borderId="33" xfId="0" applyFill="1" applyBorder="1"/>
    <xf numFmtId="0" fontId="0" fillId="0" borderId="27" xfId="0" applyFill="1" applyBorder="1"/>
    <xf numFmtId="0" fontId="0" fillId="0" borderId="34" xfId="0" applyFill="1" applyBorder="1"/>
    <xf numFmtId="49" fontId="14" fillId="0" borderId="9" xfId="0" applyNumberFormat="1" applyFont="1" applyFill="1" applyBorder="1" applyAlignment="1">
      <alignment horizontal="left" vertical="center" wrapText="1"/>
    </xf>
    <xf numFmtId="164" fontId="14" fillId="0" borderId="8" xfId="0" applyNumberFormat="1" applyFont="1" applyFill="1" applyBorder="1" applyAlignment="1">
      <alignment vertical="center" wrapText="1"/>
    </xf>
    <xf numFmtId="15" fontId="14" fillId="0" borderId="6" xfId="0" applyNumberFormat="1" applyFont="1" applyBorder="1" applyAlignment="1">
      <alignment horizontal="center" vertical="center" wrapText="1"/>
    </xf>
    <xf numFmtId="164" fontId="14" fillId="0" borderId="29" xfId="0" applyNumberFormat="1" applyFont="1" applyBorder="1" applyAlignment="1">
      <alignment horizontal="right" vertical="center" wrapText="1"/>
    </xf>
    <xf numFmtId="166" fontId="14" fillId="0" borderId="31" xfId="0" applyNumberFormat="1" applyFont="1" applyBorder="1" applyAlignment="1">
      <alignment horizontal="center" vertical="center" wrapText="1"/>
    </xf>
    <xf numFmtId="17" fontId="14" fillId="0" borderId="5" xfId="0" applyNumberFormat="1" applyFont="1" applyFill="1" applyBorder="1" applyAlignment="1">
      <alignment horizontal="right" vertical="center" wrapText="1"/>
    </xf>
    <xf numFmtId="17" fontId="14" fillId="0" borderId="2" xfId="0" applyNumberFormat="1" applyFont="1" applyFill="1" applyBorder="1" applyAlignment="1">
      <alignment horizontal="right" vertical="center" wrapText="1"/>
    </xf>
    <xf numFmtId="0" fontId="25" fillId="0" borderId="16" xfId="2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15" fontId="20" fillId="0" borderId="9" xfId="0" applyNumberFormat="1" applyFont="1" applyFill="1" applyBorder="1" applyAlignment="1">
      <alignment horizontal="center" vertical="center" wrapText="1"/>
    </xf>
    <xf numFmtId="164" fontId="14" fillId="0" borderId="21" xfId="0" applyNumberFormat="1" applyFont="1" applyFill="1" applyBorder="1" applyAlignment="1">
      <alignment vertical="center" wrapText="1"/>
    </xf>
    <xf numFmtId="164" fontId="45" fillId="0" borderId="28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right"/>
    </xf>
    <xf numFmtId="0" fontId="25" fillId="0" borderId="0" xfId="2" applyFont="1" applyFill="1" applyBorder="1" applyAlignment="1">
      <alignment vertical="center"/>
    </xf>
    <xf numFmtId="2" fontId="25" fillId="0" borderId="0" xfId="2" applyNumberFormat="1" applyFont="1" applyFill="1" applyBorder="1" applyAlignment="1">
      <alignment horizontal="center" vertical="center"/>
    </xf>
    <xf numFmtId="1" fontId="25" fillId="0" borderId="4" xfId="2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/>
    </xf>
    <xf numFmtId="15" fontId="14" fillId="0" borderId="1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right" vertical="center"/>
    </xf>
    <xf numFmtId="3" fontId="14" fillId="0" borderId="17" xfId="0" applyNumberFormat="1" applyFont="1" applyFill="1" applyBorder="1" applyAlignment="1">
      <alignment horizontal="right" vertical="center"/>
    </xf>
    <xf numFmtId="169" fontId="14" fillId="0" borderId="16" xfId="0" applyNumberFormat="1" applyFont="1" applyFill="1" applyBorder="1" applyAlignment="1">
      <alignment horizontal="right" vertical="center" wrapText="1"/>
    </xf>
    <xf numFmtId="0" fontId="14" fillId="0" borderId="17" xfId="0" applyFont="1" applyFill="1" applyBorder="1" applyAlignment="1">
      <alignment horizontal="right" vertical="center" wrapText="1"/>
    </xf>
    <xf numFmtId="15" fontId="14" fillId="0" borderId="37" xfId="0" applyNumberFormat="1" applyFont="1" applyFill="1" applyBorder="1" applyAlignment="1">
      <alignment horizontal="center" vertical="center" wrapText="1"/>
    </xf>
    <xf numFmtId="1" fontId="14" fillId="0" borderId="37" xfId="0" applyNumberFormat="1" applyFont="1" applyFill="1" applyBorder="1" applyAlignment="1">
      <alignment horizontal="center" vertical="center" wrapText="1"/>
    </xf>
    <xf numFmtId="1" fontId="14" fillId="0" borderId="17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15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164" fontId="29" fillId="0" borderId="0" xfId="0" applyNumberFormat="1" applyFont="1" applyAlignment="1">
      <alignment horizontal="center" vertical="center" wrapText="1"/>
    </xf>
    <xf numFmtId="164" fontId="29" fillId="0" borderId="0" xfId="0" applyNumberFormat="1" applyFont="1" applyAlignment="1">
      <alignment horizontal="right" vertical="center" wrapText="1"/>
    </xf>
    <xf numFmtId="166" fontId="29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5" fontId="30" fillId="0" borderId="27" xfId="0" applyNumberFormat="1" applyFont="1" applyBorder="1" applyAlignment="1">
      <alignment vertical="top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5" fontId="7" fillId="0" borderId="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6" fontId="7" fillId="0" borderId="28" xfId="0" applyNumberFormat="1" applyFont="1" applyBorder="1" applyAlignment="1">
      <alignment horizontal="center" vertical="center" wrapText="1"/>
    </xf>
    <xf numFmtId="164" fontId="46" fillId="0" borderId="28" xfId="0" applyNumberFormat="1" applyFont="1" applyBorder="1" applyAlignment="1">
      <alignment vertical="center" wrapText="1"/>
    </xf>
    <xf numFmtId="171" fontId="7" fillId="0" borderId="23" xfId="0" applyNumberFormat="1" applyFont="1" applyBorder="1" applyAlignment="1">
      <alignment vertical="center" wrapText="1"/>
    </xf>
    <xf numFmtId="171" fontId="7" fillId="0" borderId="15" xfId="0" applyNumberFormat="1" applyFont="1" applyBorder="1" applyAlignment="1">
      <alignment vertical="center" wrapText="1"/>
    </xf>
    <xf numFmtId="15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15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167" fontId="7" fillId="0" borderId="29" xfId="0" applyNumberFormat="1" applyFont="1" applyBorder="1" applyAlignment="1">
      <alignment horizontal="right" vertical="center" wrapText="1"/>
    </xf>
    <xf numFmtId="15" fontId="7" fillId="0" borderId="4" xfId="0" applyNumberFormat="1" applyFont="1" applyBorder="1" applyAlignment="1">
      <alignment horizontal="center" vertical="center" wrapText="1"/>
    </xf>
    <xf numFmtId="166" fontId="7" fillId="0" borderId="3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center" vertical="center" wrapText="1"/>
    </xf>
    <xf numFmtId="164" fontId="4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15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166" fontId="7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right" vertical="center" wrapText="1"/>
    </xf>
    <xf numFmtId="0" fontId="25" fillId="3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vertical="center"/>
    </xf>
    <xf numFmtId="172" fontId="25" fillId="0" borderId="0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center" vertical="center" wrapText="1"/>
    </xf>
    <xf numFmtId="17" fontId="25" fillId="0" borderId="0" xfId="2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justify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2" fillId="0" borderId="28" xfId="0" applyFont="1" applyFill="1" applyBorder="1" applyAlignment="1">
      <alignment vertical="center" wrapText="1"/>
    </xf>
    <xf numFmtId="164" fontId="46" fillId="0" borderId="28" xfId="0" applyNumberFormat="1" applyFont="1" applyFill="1" applyBorder="1" applyAlignment="1">
      <alignment horizontal="right" vertical="center" wrapText="1"/>
    </xf>
    <xf numFmtId="171" fontId="31" fillId="0" borderId="28" xfId="0" applyNumberFormat="1" applyFont="1" applyFill="1" applyBorder="1" applyAlignment="1">
      <alignment horizontal="right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38" xfId="0" applyFont="1" applyFill="1" applyBorder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35" fillId="0" borderId="38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15" fontId="35" fillId="0" borderId="39" xfId="0" applyNumberFormat="1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right" vertical="center"/>
    </xf>
    <xf numFmtId="1" fontId="35" fillId="0" borderId="28" xfId="0" applyNumberFormat="1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right" vertical="center"/>
    </xf>
    <xf numFmtId="169" fontId="35" fillId="0" borderId="28" xfId="0" applyNumberFormat="1" applyFont="1" applyFill="1" applyBorder="1" applyAlignment="1">
      <alignment horizontal="center" vertical="center"/>
    </xf>
    <xf numFmtId="169" fontId="35" fillId="0" borderId="28" xfId="0" applyNumberFormat="1" applyFont="1" applyFill="1" applyBorder="1" applyAlignment="1">
      <alignment horizontal="right" vertical="center"/>
    </xf>
    <xf numFmtId="169" fontId="35" fillId="0" borderId="40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left" vertical="center"/>
    </xf>
    <xf numFmtId="3" fontId="48" fillId="0" borderId="4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7" fillId="0" borderId="0" xfId="3" applyFont="1" applyBorder="1"/>
    <xf numFmtId="0" fontId="37" fillId="0" borderId="0" xfId="3" applyFont="1"/>
    <xf numFmtId="0" fontId="38" fillId="0" borderId="10" xfId="3" applyFont="1" applyFill="1" applyBorder="1"/>
    <xf numFmtId="0" fontId="38" fillId="0" borderId="0" xfId="3" applyFont="1" applyFill="1"/>
    <xf numFmtId="0" fontId="38" fillId="0" borderId="0" xfId="3" applyFont="1" applyFill="1" applyBorder="1"/>
    <xf numFmtId="15" fontId="38" fillId="0" borderId="12" xfId="3" applyNumberFormat="1" applyFont="1" applyFill="1" applyBorder="1"/>
    <xf numFmtId="0" fontId="38" fillId="0" borderId="0" xfId="3" applyFont="1"/>
    <xf numFmtId="0" fontId="38" fillId="0" borderId="36" xfId="3" applyFont="1" applyFill="1" applyBorder="1"/>
    <xf numFmtId="2" fontId="38" fillId="0" borderId="0" xfId="3" applyNumberFormat="1" applyFont="1" applyFill="1" applyBorder="1"/>
    <xf numFmtId="0" fontId="38" fillId="0" borderId="4" xfId="3" applyFont="1" applyFill="1" applyBorder="1"/>
    <xf numFmtId="0" fontId="38" fillId="0" borderId="6" xfId="3" applyFont="1" applyFill="1" applyBorder="1"/>
    <xf numFmtId="0" fontId="39" fillId="0" borderId="0" xfId="3" applyFont="1"/>
    <xf numFmtId="0" fontId="39" fillId="0" borderId="0" xfId="3" applyFont="1" applyBorder="1"/>
    <xf numFmtId="0" fontId="40" fillId="0" borderId="0" xfId="3" applyFont="1"/>
    <xf numFmtId="1" fontId="14" fillId="0" borderId="37" xfId="0" applyNumberFormat="1" applyFont="1" applyFill="1" applyBorder="1" applyAlignment="1">
      <alignment horizontal="left" vertical="center" wrapText="1"/>
    </xf>
    <xf numFmtId="164" fontId="14" fillId="0" borderId="15" xfId="0" applyNumberFormat="1" applyFont="1" applyBorder="1" applyAlignment="1">
      <alignment vertical="center" wrapText="1"/>
    </xf>
    <xf numFmtId="2" fontId="0" fillId="0" borderId="0" xfId="0" applyNumberFormat="1" applyFill="1"/>
    <xf numFmtId="167" fontId="0" fillId="0" borderId="0" xfId="0" applyNumberFormat="1" applyFill="1"/>
    <xf numFmtId="0" fontId="49" fillId="0" borderId="46" xfId="0" applyFont="1" applyBorder="1" applyAlignment="1">
      <alignment horizontal="center"/>
    </xf>
    <xf numFmtId="49" fontId="49" fillId="0" borderId="46" xfId="0" applyNumberFormat="1" applyFont="1" applyBorder="1" applyAlignment="1">
      <alignment horizontal="center"/>
    </xf>
    <xf numFmtId="0" fontId="49" fillId="0" borderId="46" xfId="0" applyFont="1" applyFill="1" applyBorder="1" applyAlignment="1">
      <alignment horizontal="center"/>
    </xf>
    <xf numFmtId="0" fontId="49" fillId="0" borderId="47" xfId="0" applyFont="1" applyBorder="1" applyAlignment="1"/>
    <xf numFmtId="49" fontId="49" fillId="0" borderId="47" xfId="0" applyNumberFormat="1" applyFont="1" applyBorder="1" applyAlignment="1"/>
    <xf numFmtId="0" fontId="49" fillId="0" borderId="47" xfId="0" applyFont="1" applyBorder="1" applyAlignment="1">
      <alignment horizontal="center"/>
    </xf>
    <xf numFmtId="0" fontId="49" fillId="0" borderId="47" xfId="0" applyFont="1" applyFill="1" applyBorder="1" applyAlignment="1">
      <alignment horizontal="center"/>
    </xf>
    <xf numFmtId="49" fontId="0" fillId="0" borderId="0" xfId="0" applyNumberFormat="1"/>
    <xf numFmtId="14" fontId="50" fillId="0" borderId="4" xfId="0" applyNumberFormat="1" applyFont="1" applyFill="1" applyBorder="1" applyAlignment="1"/>
    <xf numFmtId="49" fontId="41" fillId="0" borderId="4" xfId="0" applyNumberFormat="1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2" fontId="41" fillId="0" borderId="4" xfId="0" applyNumberFormat="1" applyFont="1" applyFill="1" applyBorder="1" applyAlignment="1">
      <alignment horizontal="center" vertical="center"/>
    </xf>
    <xf numFmtId="2" fontId="50" fillId="0" borderId="4" xfId="0" applyNumberFormat="1" applyFont="1" applyFill="1" applyBorder="1" applyAlignment="1">
      <alignment horizontal="center"/>
    </xf>
    <xf numFmtId="1" fontId="50" fillId="0" borderId="4" xfId="0" applyNumberFormat="1" applyFont="1" applyFill="1" applyBorder="1" applyAlignment="1">
      <alignment horizontal="center"/>
    </xf>
    <xf numFmtId="1" fontId="41" fillId="0" borderId="4" xfId="0" applyNumberFormat="1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left"/>
    </xf>
    <xf numFmtId="2" fontId="41" fillId="4" borderId="4" xfId="0" applyNumberFormat="1" applyFont="1" applyFill="1" applyBorder="1" applyAlignment="1">
      <alignment horizontal="center" vertical="center"/>
    </xf>
    <xf numFmtId="14" fontId="50" fillId="0" borderId="9" xfId="0" applyNumberFormat="1" applyFont="1" applyFill="1" applyBorder="1" applyAlignment="1"/>
    <xf numFmtId="49" fontId="41" fillId="0" borderId="9" xfId="0" applyNumberFormat="1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2" fontId="41" fillId="0" borderId="9" xfId="0" applyNumberFormat="1" applyFont="1" applyFill="1" applyBorder="1" applyAlignment="1">
      <alignment horizontal="center" vertical="center"/>
    </xf>
    <xf numFmtId="2" fontId="50" fillId="0" borderId="9" xfId="0" applyNumberFormat="1" applyFont="1" applyFill="1" applyBorder="1" applyAlignment="1">
      <alignment horizontal="center"/>
    </xf>
    <xf numFmtId="1" fontId="50" fillId="0" borderId="9" xfId="0" applyNumberFormat="1" applyFont="1" applyFill="1" applyBorder="1" applyAlignment="1">
      <alignment horizontal="center"/>
    </xf>
    <xf numFmtId="1" fontId="41" fillId="0" borderId="9" xfId="0" applyNumberFormat="1" applyFont="1" applyFill="1" applyBorder="1" applyAlignment="1">
      <alignment horizontal="center" vertical="center"/>
    </xf>
    <xf numFmtId="49" fontId="50" fillId="0" borderId="9" xfId="0" applyNumberFormat="1" applyFont="1" applyFill="1" applyBorder="1" applyAlignment="1">
      <alignment horizontal="center"/>
    </xf>
    <xf numFmtId="14" fontId="50" fillId="0" borderId="0" xfId="0" applyNumberFormat="1" applyFont="1" applyFill="1" applyBorder="1" applyAlignment="1"/>
    <xf numFmtId="49" fontId="52" fillId="0" borderId="0" xfId="0" applyNumberFormat="1" applyFont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175" fontId="53" fillId="0" borderId="0" xfId="0" applyNumberFormat="1" applyFont="1" applyFill="1" applyBorder="1" applyAlignment="1">
      <alignment horizontal="center" vertical="center"/>
    </xf>
    <xf numFmtId="2" fontId="52" fillId="0" borderId="0" xfId="0" applyNumberFormat="1" applyFont="1" applyBorder="1" applyAlignment="1">
      <alignment horizontal="center"/>
    </xf>
    <xf numFmtId="2" fontId="53" fillId="0" borderId="0" xfId="0" applyNumberFormat="1" applyFont="1" applyFill="1" applyBorder="1" applyAlignment="1">
      <alignment horizontal="center" vertical="center"/>
    </xf>
    <xf numFmtId="1" fontId="52" fillId="0" borderId="0" xfId="0" applyNumberFormat="1" applyFont="1" applyBorder="1" applyAlignment="1">
      <alignment horizontal="center"/>
    </xf>
    <xf numFmtId="1" fontId="52" fillId="0" borderId="0" xfId="0" applyNumberFormat="1" applyFont="1" applyFill="1" applyBorder="1" applyAlignment="1">
      <alignment horizontal="center"/>
    </xf>
    <xf numFmtId="14" fontId="54" fillId="0" borderId="0" xfId="0" applyNumberFormat="1" applyFont="1" applyBorder="1" applyAlignment="1"/>
    <xf numFmtId="49" fontId="53" fillId="0" borderId="0" xfId="0" applyNumberFormat="1" applyFont="1" applyFill="1" applyBorder="1" applyAlignment="1">
      <alignment horizontal="center"/>
    </xf>
    <xf numFmtId="14" fontId="52" fillId="0" borderId="0" xfId="0" applyNumberFormat="1" applyFont="1" applyBorder="1" applyAlignment="1"/>
    <xf numFmtId="0" fontId="55" fillId="0" borderId="0" xfId="0" applyFont="1"/>
    <xf numFmtId="0" fontId="49" fillId="0" borderId="0" xfId="0" applyFont="1"/>
    <xf numFmtId="0" fontId="51" fillId="0" borderId="0" xfId="0" applyFont="1"/>
    <xf numFmtId="49" fontId="51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6" fillId="0" borderId="0" xfId="0" applyFont="1"/>
    <xf numFmtId="14" fontId="51" fillId="0" borderId="0" xfId="0" applyNumberFormat="1" applyFont="1" applyFill="1" applyBorder="1" applyAlignment="1">
      <alignment horizontal="left"/>
    </xf>
    <xf numFmtId="175" fontId="2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0" fontId="57" fillId="0" borderId="0" xfId="0" applyFont="1"/>
    <xf numFmtId="49" fontId="58" fillId="0" borderId="0" xfId="0" applyNumberFormat="1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75" fontId="2" fillId="0" borderId="0" xfId="0" applyNumberFormat="1" applyFont="1" applyFill="1" applyBorder="1" applyAlignment="1">
      <alignment horizontal="center" vertical="center"/>
    </xf>
    <xf numFmtId="49" fontId="51" fillId="0" borderId="0" xfId="0" applyNumberFormat="1" applyFont="1"/>
    <xf numFmtId="0" fontId="51" fillId="0" borderId="0" xfId="0" applyFont="1" applyBorder="1"/>
    <xf numFmtId="0" fontId="51" fillId="0" borderId="0" xfId="0" applyFont="1" applyBorder="1" applyAlignment="1">
      <alignment horizontal="center"/>
    </xf>
    <xf numFmtId="0" fontId="59" fillId="0" borderId="0" xfId="0" applyFont="1" applyAlignment="1">
      <alignment horizontal="center"/>
    </xf>
    <xf numFmtId="49" fontId="59" fillId="0" borderId="0" xfId="0" applyNumberFormat="1" applyFont="1"/>
    <xf numFmtId="0" fontId="59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44" fillId="5" borderId="10" xfId="0" applyFont="1" applyFill="1" applyBorder="1" applyAlignment="1">
      <alignment horizontal="center"/>
    </xf>
    <xf numFmtId="0" fontId="44" fillId="5" borderId="82" xfId="0" applyFont="1" applyFill="1" applyBorder="1" applyAlignment="1">
      <alignment horizontal="center"/>
    </xf>
    <xf numFmtId="0" fontId="44" fillId="5" borderId="12" xfId="0" applyFont="1" applyFill="1" applyBorder="1" applyAlignment="1">
      <alignment horizontal="center"/>
    </xf>
    <xf numFmtId="0" fontId="44" fillId="5" borderId="10" xfId="0" applyFont="1" applyFill="1" applyBorder="1"/>
    <xf numFmtId="0" fontId="51" fillId="0" borderId="9" xfId="0" applyFont="1" applyBorder="1" applyAlignment="1">
      <alignment horizontal="center"/>
    </xf>
    <xf numFmtId="14" fontId="51" fillId="0" borderId="9" xfId="0" applyNumberFormat="1" applyFont="1" applyBorder="1" applyAlignment="1">
      <alignment horizontal="center"/>
    </xf>
    <xf numFmtId="0" fontId="51" fillId="6" borderId="9" xfId="0" applyFont="1" applyFill="1" applyBorder="1" applyAlignment="1">
      <alignment horizontal="center"/>
    </xf>
    <xf numFmtId="0" fontId="51" fillId="0" borderId="9" xfId="0" applyFont="1" applyBorder="1"/>
    <xf numFmtId="49" fontId="51" fillId="7" borderId="9" xfId="0" applyNumberFormat="1" applyFont="1" applyFill="1" applyBorder="1" applyAlignment="1">
      <alignment horizontal="left"/>
    </xf>
    <xf numFmtId="0" fontId="51" fillId="7" borderId="9" xfId="0" applyFont="1" applyFill="1" applyBorder="1" applyAlignment="1">
      <alignment horizontal="left"/>
    </xf>
    <xf numFmtId="0" fontId="51" fillId="0" borderId="9" xfId="0" applyFont="1" applyFill="1" applyBorder="1" applyAlignment="1">
      <alignment horizontal="center"/>
    </xf>
    <xf numFmtId="14" fontId="51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left"/>
    </xf>
    <xf numFmtId="14" fontId="51" fillId="0" borderId="0" xfId="0" applyNumberFormat="1" applyFont="1"/>
    <xf numFmtId="0" fontId="49" fillId="0" borderId="48" xfId="0" applyFont="1" applyBorder="1" applyAlignment="1">
      <alignment horizontal="center"/>
    </xf>
    <xf numFmtId="49" fontId="49" fillId="0" borderId="49" xfId="0" applyNumberFormat="1" applyFont="1" applyBorder="1" applyAlignment="1">
      <alignment horizontal="center"/>
    </xf>
    <xf numFmtId="0" fontId="49" fillId="0" borderId="49" xfId="0" applyFont="1" applyBorder="1" applyAlignment="1">
      <alignment horizontal="center"/>
    </xf>
    <xf numFmtId="0" fontId="49" fillId="0" borderId="39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14" fontId="51" fillId="0" borderId="9" xfId="0" applyNumberFormat="1" applyFont="1" applyBorder="1"/>
    <xf numFmtId="4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76" fontId="43" fillId="0" borderId="9" xfId="5" applyNumberFormat="1" applyFont="1" applyBorder="1" applyAlignment="1">
      <alignment horizontal="center"/>
    </xf>
    <xf numFmtId="49" fontId="0" fillId="0" borderId="0" xfId="0" applyNumberFormat="1" applyBorder="1"/>
    <xf numFmtId="0" fontId="60" fillId="0" borderId="0" xfId="0" applyFont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62" fillId="0" borderId="0" xfId="0" applyFont="1" applyFill="1" applyBorder="1" applyAlignment="1"/>
    <xf numFmtId="0" fontId="62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14" fontId="52" fillId="0" borderId="0" xfId="0" applyNumberFormat="1" applyFont="1" applyFill="1" applyBorder="1" applyAlignment="1"/>
    <xf numFmtId="1" fontId="0" fillId="0" borderId="0" xfId="0" applyNumberFormat="1"/>
    <xf numFmtId="2" fontId="52" fillId="0" borderId="0" xfId="0" applyNumberFormat="1" applyFont="1" applyFill="1" applyBorder="1" applyAlignment="1">
      <alignment horizontal="center"/>
    </xf>
    <xf numFmtId="2" fontId="51" fillId="0" borderId="0" xfId="0" applyNumberFormat="1" applyFont="1" applyBorder="1" applyAlignment="1">
      <alignment horizontal="center"/>
    </xf>
    <xf numFmtId="1" fontId="50" fillId="4" borderId="4" xfId="0" applyNumberFormat="1" applyFont="1" applyFill="1" applyBorder="1" applyAlignment="1">
      <alignment horizontal="center"/>
    </xf>
    <xf numFmtId="1" fontId="41" fillId="4" borderId="4" xfId="0" applyNumberFormat="1" applyFont="1" applyFill="1" applyBorder="1" applyAlignment="1">
      <alignment horizontal="center" vertical="center"/>
    </xf>
    <xf numFmtId="1" fontId="41" fillId="4" borderId="9" xfId="0" applyNumberFormat="1" applyFont="1" applyFill="1" applyBorder="1" applyAlignment="1">
      <alignment horizontal="center" vertical="center"/>
    </xf>
    <xf numFmtId="14" fontId="50" fillId="8" borderId="9" xfId="0" applyNumberFormat="1" applyFont="1" applyFill="1" applyBorder="1" applyAlignment="1"/>
    <xf numFmtId="49" fontId="50" fillId="8" borderId="9" xfId="0" applyNumberFormat="1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2" fontId="41" fillId="8" borderId="9" xfId="0" applyNumberFormat="1" applyFont="1" applyFill="1" applyBorder="1" applyAlignment="1">
      <alignment horizontal="center" vertical="center"/>
    </xf>
    <xf numFmtId="2" fontId="50" fillId="8" borderId="9" xfId="0" applyNumberFormat="1" applyFont="1" applyFill="1" applyBorder="1" applyAlignment="1">
      <alignment horizontal="center"/>
    </xf>
    <xf numFmtId="1" fontId="50" fillId="8" borderId="9" xfId="0" applyNumberFormat="1" applyFont="1" applyFill="1" applyBorder="1" applyAlignment="1">
      <alignment horizontal="center"/>
    </xf>
    <xf numFmtId="1" fontId="41" fillId="8" borderId="9" xfId="0" applyNumberFormat="1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/>
    <xf numFmtId="0" fontId="5" fillId="4" borderId="22" xfId="0" applyFont="1" applyFill="1" applyBorder="1" applyAlignment="1"/>
    <xf numFmtId="0" fontId="38" fillId="9" borderId="65" xfId="3" applyFont="1" applyFill="1" applyBorder="1" applyAlignment="1">
      <alignment horizontal="center"/>
    </xf>
    <xf numFmtId="0" fontId="38" fillId="9" borderId="46" xfId="3" applyFont="1" applyFill="1" applyBorder="1" applyAlignment="1">
      <alignment horizontal="center"/>
    </xf>
    <xf numFmtId="0" fontId="38" fillId="9" borderId="33" xfId="3" applyFont="1" applyFill="1" applyBorder="1" applyAlignment="1">
      <alignment horizontal="center"/>
    </xf>
    <xf numFmtId="0" fontId="38" fillId="9" borderId="66" xfId="3" applyFont="1" applyFill="1" applyBorder="1" applyAlignment="1">
      <alignment horizontal="center"/>
    </xf>
    <xf numFmtId="0" fontId="38" fillId="9" borderId="67" xfId="3" applyFont="1" applyFill="1" applyBorder="1" applyAlignment="1">
      <alignment horizontal="center"/>
    </xf>
    <xf numFmtId="0" fontId="38" fillId="9" borderId="57" xfId="3" applyFont="1" applyFill="1" applyBorder="1" applyAlignment="1">
      <alignment horizontal="center"/>
    </xf>
    <xf numFmtId="0" fontId="38" fillId="10" borderId="57" xfId="3" applyFont="1" applyFill="1" applyBorder="1"/>
    <xf numFmtId="0" fontId="38" fillId="10" borderId="58" xfId="3" applyFont="1" applyFill="1" applyBorder="1"/>
    <xf numFmtId="0" fontId="38" fillId="10" borderId="50" xfId="3" applyFont="1" applyFill="1" applyBorder="1"/>
    <xf numFmtId="0" fontId="38" fillId="9" borderId="14" xfId="3" applyFont="1" applyFill="1" applyBorder="1"/>
    <xf numFmtId="0" fontId="38" fillId="9" borderId="19" xfId="3" applyFont="1" applyFill="1" applyBorder="1"/>
    <xf numFmtId="0" fontId="38" fillId="9" borderId="5" xfId="3" applyFont="1" applyFill="1" applyBorder="1"/>
    <xf numFmtId="0" fontId="38" fillId="9" borderId="10" xfId="3" applyFont="1" applyFill="1" applyBorder="1"/>
    <xf numFmtId="0" fontId="38" fillId="9" borderId="4" xfId="3" applyFont="1" applyFill="1" applyBorder="1"/>
    <xf numFmtId="0" fontId="28" fillId="9" borderId="23" xfId="0" applyFont="1" applyFill="1" applyBorder="1" applyAlignment="1">
      <alignment horizontal="center"/>
    </xf>
    <xf numFmtId="1" fontId="6" fillId="9" borderId="23" xfId="0" applyNumberFormat="1" applyFont="1" applyFill="1" applyBorder="1" applyAlignment="1">
      <alignment horizontal="right"/>
    </xf>
    <xf numFmtId="1" fontId="6" fillId="9" borderId="24" xfId="0" applyNumberFormat="1" applyFont="1" applyFill="1" applyBorder="1" applyAlignment="1">
      <alignment horizontal="right"/>
    </xf>
    <xf numFmtId="0" fontId="31" fillId="9" borderId="3" xfId="0" applyFont="1" applyFill="1" applyBorder="1" applyAlignment="1">
      <alignment horizontal="center" vertical="center" wrapText="1"/>
    </xf>
    <xf numFmtId="0" fontId="31" fillId="9" borderId="52" xfId="0" applyFont="1" applyFill="1" applyBorder="1" applyAlignment="1">
      <alignment horizontal="center" vertical="center" wrapText="1"/>
    </xf>
    <xf numFmtId="0" fontId="31" fillId="9" borderId="70" xfId="0" applyFont="1" applyFill="1" applyBorder="1" applyAlignment="1">
      <alignment vertical="center" wrapText="1"/>
    </xf>
    <xf numFmtId="0" fontId="31" fillId="9" borderId="54" xfId="0" applyFont="1" applyFill="1" applyBorder="1" applyAlignment="1">
      <alignment horizontal="center" vertical="center" wrapText="1"/>
    </xf>
    <xf numFmtId="15" fontId="31" fillId="9" borderId="36" xfId="0" applyNumberFormat="1" applyFont="1" applyFill="1" applyBorder="1" applyAlignment="1">
      <alignment horizontal="center" vertical="center" wrapText="1"/>
    </xf>
    <xf numFmtId="0" fontId="31" fillId="9" borderId="68" xfId="0" applyFont="1" applyFill="1" applyBorder="1" applyAlignment="1">
      <alignment vertical="center" wrapText="1"/>
    </xf>
    <xf numFmtId="0" fontId="31" fillId="9" borderId="20" xfId="0" applyFont="1" applyFill="1" applyBorder="1" applyAlignment="1">
      <alignment horizontal="center" vertical="center" wrapText="1"/>
    </xf>
    <xf numFmtId="0" fontId="31" fillId="9" borderId="36" xfId="0" applyFont="1" applyFill="1" applyBorder="1" applyAlignment="1">
      <alignment horizontal="center" vertical="center" wrapText="1"/>
    </xf>
    <xf numFmtId="49" fontId="31" fillId="10" borderId="57" xfId="0" applyNumberFormat="1" applyFont="1" applyFill="1" applyBorder="1" applyAlignment="1">
      <alignment horizontal="center" vertical="center" wrapText="1"/>
    </xf>
    <xf numFmtId="15" fontId="31" fillId="10" borderId="58" xfId="0" applyNumberFormat="1" applyFont="1" applyFill="1" applyBorder="1" applyAlignment="1">
      <alignment horizontal="center" vertical="center" wrapText="1"/>
    </xf>
    <xf numFmtId="0" fontId="31" fillId="10" borderId="58" xfId="0" applyFont="1" applyFill="1" applyBorder="1" applyAlignment="1">
      <alignment horizontal="center" vertical="center" wrapText="1"/>
    </xf>
    <xf numFmtId="164" fontId="31" fillId="10" borderId="58" xfId="0" applyNumberFormat="1" applyFont="1" applyFill="1" applyBorder="1" applyAlignment="1">
      <alignment horizontal="center" vertical="center" wrapText="1"/>
    </xf>
    <xf numFmtId="0" fontId="31" fillId="10" borderId="58" xfId="0" applyFont="1" applyFill="1" applyBorder="1" applyAlignment="1">
      <alignment horizontal="right" vertical="center" wrapText="1"/>
    </xf>
    <xf numFmtId="0" fontId="31" fillId="10" borderId="58" xfId="0" applyFont="1" applyFill="1" applyBorder="1" applyAlignment="1">
      <alignment vertical="center" wrapText="1"/>
    </xf>
    <xf numFmtId="0" fontId="31" fillId="10" borderId="50" xfId="0" applyFont="1" applyFill="1" applyBorder="1" applyAlignment="1">
      <alignment vertical="center" wrapText="1"/>
    </xf>
    <xf numFmtId="0" fontId="31" fillId="9" borderId="71" xfId="0" applyFont="1" applyFill="1" applyBorder="1" applyAlignment="1">
      <alignment horizontal="center" vertical="center" wrapText="1"/>
    </xf>
    <xf numFmtId="15" fontId="31" fillId="9" borderId="72" xfId="0" applyNumberFormat="1" applyFont="1" applyFill="1" applyBorder="1" applyAlignment="1">
      <alignment horizontal="center" vertical="center" wrapText="1"/>
    </xf>
    <xf numFmtId="0" fontId="31" fillId="9" borderId="73" xfId="0" applyFont="1" applyFill="1" applyBorder="1" applyAlignment="1">
      <alignment vertical="center" wrapText="1"/>
    </xf>
    <xf numFmtId="0" fontId="31" fillId="9" borderId="74" xfId="0" applyFont="1" applyFill="1" applyBorder="1" applyAlignment="1">
      <alignment horizontal="center" vertical="center" wrapText="1"/>
    </xf>
    <xf numFmtId="0" fontId="31" fillId="9" borderId="72" xfId="0" applyFont="1" applyFill="1" applyBorder="1" applyAlignment="1">
      <alignment horizontal="center" vertical="center" wrapText="1"/>
    </xf>
    <xf numFmtId="49" fontId="31" fillId="10" borderId="33" xfId="0" applyNumberFormat="1" applyFont="1" applyFill="1" applyBorder="1" applyAlignment="1">
      <alignment horizontal="center" vertical="center" wrapText="1"/>
    </xf>
    <xf numFmtId="15" fontId="31" fillId="10" borderId="27" xfId="0" applyNumberFormat="1" applyFont="1" applyFill="1" applyBorder="1" applyAlignment="1">
      <alignment horizontal="center" vertical="center" wrapText="1"/>
    </xf>
    <xf numFmtId="0" fontId="31" fillId="10" borderId="27" xfId="0" applyFont="1" applyFill="1" applyBorder="1" applyAlignment="1">
      <alignment horizontal="center" vertical="center" wrapText="1"/>
    </xf>
    <xf numFmtId="164" fontId="31" fillId="10" borderId="27" xfId="0" applyNumberFormat="1" applyFont="1" applyFill="1" applyBorder="1" applyAlignment="1">
      <alignment horizontal="center" vertical="center" wrapText="1"/>
    </xf>
    <xf numFmtId="0" fontId="31" fillId="10" borderId="27" xfId="0" applyFont="1" applyFill="1" applyBorder="1" applyAlignment="1">
      <alignment horizontal="right" vertical="center" wrapText="1"/>
    </xf>
    <xf numFmtId="0" fontId="31" fillId="10" borderId="27" xfId="0" applyFont="1" applyFill="1" applyBorder="1" applyAlignment="1">
      <alignment vertical="center" wrapText="1"/>
    </xf>
    <xf numFmtId="0" fontId="31" fillId="10" borderId="34" xfId="0" applyFont="1" applyFill="1" applyBorder="1" applyAlignment="1">
      <alignment vertical="center" wrapText="1"/>
    </xf>
    <xf numFmtId="0" fontId="6" fillId="9" borderId="14" xfId="0" applyFont="1" applyFill="1" applyBorder="1" applyAlignment="1">
      <alignment horizontal="left" vertical="center" wrapText="1"/>
    </xf>
    <xf numFmtId="49" fontId="7" fillId="9" borderId="19" xfId="0" applyNumberFormat="1" applyFont="1" applyFill="1" applyBorder="1" applyAlignment="1">
      <alignment horizontal="left" vertical="center" wrapText="1"/>
    </xf>
    <xf numFmtId="0" fontId="6" fillId="9" borderId="5" xfId="0" applyFont="1" applyFill="1" applyBorder="1" applyAlignment="1">
      <alignment horizontal="left" vertical="center" wrapText="1"/>
    </xf>
    <xf numFmtId="0" fontId="30" fillId="9" borderId="26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right" vertical="center"/>
    </xf>
    <xf numFmtId="0" fontId="30" fillId="9" borderId="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right" vertical="center"/>
    </xf>
    <xf numFmtId="0" fontId="30" fillId="9" borderId="11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right" vertical="center" wrapText="1"/>
    </xf>
    <xf numFmtId="0" fontId="30" fillId="9" borderId="26" xfId="0" applyFont="1" applyFill="1" applyBorder="1" applyAlignment="1">
      <alignment horizontal="left" vertical="center" wrapText="1"/>
    </xf>
    <xf numFmtId="0" fontId="30" fillId="9" borderId="26" xfId="0" applyFont="1" applyFill="1" applyBorder="1" applyAlignment="1">
      <alignment horizontal="right" vertical="center" wrapText="1"/>
    </xf>
    <xf numFmtId="15" fontId="30" fillId="9" borderId="26" xfId="0" applyNumberFormat="1" applyFont="1" applyFill="1" applyBorder="1" applyAlignment="1">
      <alignment horizontal="center" vertical="center" wrapText="1"/>
    </xf>
    <xf numFmtId="2" fontId="30" fillId="9" borderId="12" xfId="0" applyNumberFormat="1" applyFont="1" applyFill="1" applyBorder="1" applyAlignment="1">
      <alignment horizontal="left" vertical="center" wrapText="1"/>
    </xf>
    <xf numFmtId="15" fontId="30" fillId="9" borderId="0" xfId="0" applyNumberFormat="1" applyFont="1" applyFill="1" applyBorder="1" applyAlignment="1">
      <alignment horizontal="left" vertical="top" wrapText="1"/>
    </xf>
    <xf numFmtId="0" fontId="30" fillId="9" borderId="0" xfId="0" applyFont="1" applyFill="1" applyBorder="1" applyAlignment="1">
      <alignment horizontal="right" vertical="center" wrapText="1"/>
    </xf>
    <xf numFmtId="15" fontId="30" fillId="9" borderId="0" xfId="0" applyNumberFormat="1" applyFont="1" applyFill="1" applyBorder="1" applyAlignment="1">
      <alignment horizontal="center" vertical="center" wrapText="1"/>
    </xf>
    <xf numFmtId="2" fontId="30" fillId="9" borderId="20" xfId="0" applyNumberFormat="1" applyFont="1" applyFill="1" applyBorder="1" applyAlignment="1">
      <alignment horizontal="left" vertical="center" wrapText="1"/>
    </xf>
    <xf numFmtId="15" fontId="30" fillId="9" borderId="11" xfId="0" applyNumberFormat="1" applyFont="1" applyFill="1" applyBorder="1" applyAlignment="1">
      <alignment vertical="center"/>
    </xf>
    <xf numFmtId="15" fontId="30" fillId="9" borderId="11" xfId="0" applyNumberFormat="1" applyFont="1" applyFill="1" applyBorder="1" applyAlignment="1">
      <alignment horizontal="left" vertical="top" wrapText="1"/>
    </xf>
    <xf numFmtId="0" fontId="30" fillId="9" borderId="11" xfId="0" applyFont="1" applyFill="1" applyBorder="1" applyAlignment="1">
      <alignment horizontal="right" vertical="center" wrapText="1"/>
    </xf>
    <xf numFmtId="15" fontId="30" fillId="9" borderId="11" xfId="0" applyNumberFormat="1" applyFont="1" applyFill="1" applyBorder="1" applyAlignment="1">
      <alignment horizontal="center" vertical="center" wrapText="1"/>
    </xf>
    <xf numFmtId="15" fontId="30" fillId="9" borderId="6" xfId="0" applyNumberFormat="1" applyFont="1" applyFill="1" applyBorder="1" applyAlignment="1">
      <alignment horizontal="left" vertical="center"/>
    </xf>
    <xf numFmtId="15" fontId="30" fillId="9" borderId="26" xfId="0" applyNumberFormat="1" applyFont="1" applyFill="1" applyBorder="1" applyAlignment="1">
      <alignment horizontal="left" vertical="center"/>
    </xf>
    <xf numFmtId="15" fontId="30" fillId="9" borderId="11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1" fillId="0" borderId="22" xfId="0" applyFont="1" applyFill="1" applyBorder="1" applyAlignment="1"/>
    <xf numFmtId="0" fontId="6" fillId="0" borderId="22" xfId="0" applyNumberFormat="1" applyFont="1" applyFill="1" applyBorder="1" applyAlignment="1"/>
    <xf numFmtId="0" fontId="10" fillId="9" borderId="0" xfId="0" applyFont="1" applyFill="1" applyBorder="1" applyAlignment="1"/>
    <xf numFmtId="0" fontId="11" fillId="9" borderId="0" xfId="0" applyFont="1" applyFill="1" applyBorder="1" applyAlignment="1"/>
    <xf numFmtId="0" fontId="6" fillId="9" borderId="0" xfId="0" applyNumberFormat="1" applyFont="1" applyFill="1" applyBorder="1" applyAlignment="1"/>
    <xf numFmtId="0" fontId="6" fillId="0" borderId="0" xfId="0" applyFont="1" applyFill="1" applyBorder="1" applyAlignment="1"/>
    <xf numFmtId="167" fontId="6" fillId="0" borderId="11" xfId="0" applyNumberFormat="1" applyFont="1" applyFill="1" applyBorder="1" applyAlignment="1"/>
    <xf numFmtId="0" fontId="10" fillId="9" borderId="32" xfId="0" applyFont="1" applyFill="1" applyBorder="1" applyAlignment="1"/>
    <xf numFmtId="0" fontId="6" fillId="9" borderId="32" xfId="0" applyFont="1" applyFill="1" applyBorder="1" applyAlignment="1"/>
    <xf numFmtId="0" fontId="11" fillId="9" borderId="32" xfId="0" applyFont="1" applyFill="1" applyBorder="1" applyAlignment="1"/>
    <xf numFmtId="168" fontId="8" fillId="9" borderId="57" xfId="0" applyNumberFormat="1" applyFont="1" applyFill="1" applyBorder="1" applyAlignment="1">
      <alignment horizontal="right"/>
    </xf>
    <xf numFmtId="0" fontId="6" fillId="0" borderId="22" xfId="0" applyFont="1" applyFill="1" applyBorder="1" applyAlignment="1"/>
    <xf numFmtId="167" fontId="6" fillId="0" borderId="0" xfId="0" applyNumberFormat="1" applyFont="1" applyFill="1" applyBorder="1" applyAlignment="1"/>
    <xf numFmtId="167" fontId="6" fillId="0" borderId="22" xfId="0" applyNumberFormat="1" applyFont="1" applyFill="1" applyBorder="1" applyAlignment="1"/>
    <xf numFmtId="167" fontId="6" fillId="9" borderId="32" xfId="0" applyNumberFormat="1" applyFont="1" applyFill="1" applyBorder="1" applyAlignment="1"/>
    <xf numFmtId="2" fontId="6" fillId="9" borderId="32" xfId="0" applyNumberFormat="1" applyFont="1" applyFill="1" applyBorder="1" applyAlignment="1">
      <alignment horizontal="center"/>
    </xf>
    <xf numFmtId="0" fontId="6" fillId="9" borderId="0" xfId="0" applyFont="1" applyFill="1" applyBorder="1" applyAlignment="1"/>
    <xf numFmtId="167" fontId="6" fillId="9" borderId="0" xfId="0" applyNumberFormat="1" applyFont="1" applyFill="1" applyBorder="1" applyAlignment="1"/>
    <xf numFmtId="2" fontId="6" fillId="9" borderId="0" xfId="0" applyNumberFormat="1" applyFont="1" applyFill="1" applyBorder="1" applyAlignment="1">
      <alignment horizontal="center"/>
    </xf>
    <xf numFmtId="15" fontId="17" fillId="9" borderId="26" xfId="0" applyNumberFormat="1" applyFont="1" applyFill="1" applyBorder="1" applyAlignment="1">
      <alignment horizontal="left" vertical="center"/>
    </xf>
    <xf numFmtId="49" fontId="17" fillId="9" borderId="11" xfId="0" applyNumberFormat="1" applyFont="1" applyFill="1" applyBorder="1" applyAlignment="1">
      <alignment horizontal="left" vertical="center"/>
    </xf>
    <xf numFmtId="0" fontId="16" fillId="9" borderId="14" xfId="0" applyFont="1" applyFill="1" applyBorder="1" applyAlignment="1">
      <alignment horizontal="left" vertical="center" wrapText="1"/>
    </xf>
    <xf numFmtId="0" fontId="17" fillId="9" borderId="26" xfId="0" applyFont="1" applyFill="1" applyBorder="1" applyAlignment="1">
      <alignment horizontal="left" vertical="center" wrapText="1"/>
    </xf>
    <xf numFmtId="0" fontId="17" fillId="9" borderId="26" xfId="0" applyFont="1" applyFill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right" vertical="center" wrapText="1"/>
    </xf>
    <xf numFmtId="15" fontId="17" fillId="9" borderId="26" xfId="0" applyNumberFormat="1" applyFont="1" applyFill="1" applyBorder="1" applyAlignment="1">
      <alignment horizontal="center" vertical="center" wrapText="1"/>
    </xf>
    <xf numFmtId="0" fontId="16" fillId="9" borderId="26" xfId="0" applyFont="1" applyFill="1" applyBorder="1" applyAlignment="1">
      <alignment horizontal="right" vertical="center"/>
    </xf>
    <xf numFmtId="0" fontId="17" fillId="9" borderId="12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15" fontId="17" fillId="9" borderId="0" xfId="0" applyNumberFormat="1" applyFont="1" applyFill="1" applyBorder="1" applyAlignment="1">
      <alignment horizontal="left" vertical="top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right" vertical="center" wrapText="1"/>
    </xf>
    <xf numFmtId="15" fontId="17" fillId="9" borderId="0" xfId="0" applyNumberFormat="1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right" vertical="center"/>
    </xf>
    <xf numFmtId="0" fontId="17" fillId="9" borderId="20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 wrapText="1"/>
    </xf>
    <xf numFmtId="15" fontId="17" fillId="9" borderId="11" xfId="0" applyNumberFormat="1" applyFont="1" applyFill="1" applyBorder="1" applyAlignment="1">
      <alignment horizontal="left" vertical="top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right" vertical="center" wrapText="1"/>
    </xf>
    <xf numFmtId="15" fontId="17" fillId="9" borderId="11" xfId="0" applyNumberFormat="1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right" vertical="center"/>
    </xf>
    <xf numFmtId="15" fontId="17" fillId="9" borderId="6" xfId="0" applyNumberFormat="1" applyFont="1" applyFill="1" applyBorder="1" applyAlignment="1">
      <alignment horizontal="left" vertical="center"/>
    </xf>
    <xf numFmtId="0" fontId="21" fillId="9" borderId="3" xfId="0" applyFont="1" applyFill="1" applyBorder="1" applyAlignment="1">
      <alignment horizontal="center" vertical="center" wrapText="1"/>
    </xf>
    <xf numFmtId="0" fontId="21" fillId="9" borderId="52" xfId="0" applyFont="1" applyFill="1" applyBorder="1" applyAlignment="1">
      <alignment horizontal="center" vertical="center" wrapText="1"/>
    </xf>
    <xf numFmtId="0" fontId="21" fillId="9" borderId="70" xfId="0" applyFont="1" applyFill="1" applyBorder="1" applyAlignment="1">
      <alignment vertical="center" wrapText="1"/>
    </xf>
    <xf numFmtId="0" fontId="21" fillId="9" borderId="71" xfId="0" applyFont="1" applyFill="1" applyBorder="1" applyAlignment="1">
      <alignment horizontal="center" vertical="center" wrapText="1"/>
    </xf>
    <xf numFmtId="15" fontId="21" fillId="9" borderId="72" xfId="0" applyNumberFormat="1" applyFont="1" applyFill="1" applyBorder="1" applyAlignment="1">
      <alignment horizontal="center" vertical="center" wrapText="1"/>
    </xf>
    <xf numFmtId="0" fontId="21" fillId="9" borderId="73" xfId="0" applyFont="1" applyFill="1" applyBorder="1" applyAlignment="1">
      <alignment vertical="center" wrapText="1"/>
    </xf>
    <xf numFmtId="0" fontId="21" fillId="9" borderId="74" xfId="0" applyFont="1" applyFill="1" applyBorder="1" applyAlignment="1">
      <alignment horizontal="center" vertical="center" wrapText="1"/>
    </xf>
    <xf numFmtId="0" fontId="21" fillId="9" borderId="72" xfId="0" applyFont="1" applyFill="1" applyBorder="1" applyAlignment="1">
      <alignment horizontal="center" vertical="center" wrapText="1"/>
    </xf>
    <xf numFmtId="49" fontId="21" fillId="10" borderId="33" xfId="0" applyNumberFormat="1" applyFont="1" applyFill="1" applyBorder="1" applyAlignment="1">
      <alignment horizontal="center" vertical="center" wrapText="1"/>
    </xf>
    <xf numFmtId="15" fontId="21" fillId="10" borderId="27" xfId="0" applyNumberFormat="1" applyFont="1" applyFill="1" applyBorder="1" applyAlignment="1">
      <alignment horizontal="center" vertical="center" wrapText="1"/>
    </xf>
    <xf numFmtId="0" fontId="21" fillId="10" borderId="27" xfId="0" applyFont="1" applyFill="1" applyBorder="1" applyAlignment="1">
      <alignment horizontal="center" vertical="center" wrapText="1"/>
    </xf>
    <xf numFmtId="164" fontId="21" fillId="10" borderId="27" xfId="0" applyNumberFormat="1" applyFont="1" applyFill="1" applyBorder="1" applyAlignment="1">
      <alignment horizontal="center" vertical="center" wrapText="1"/>
    </xf>
    <xf numFmtId="0" fontId="21" fillId="10" borderId="27" xfId="0" applyFont="1" applyFill="1" applyBorder="1" applyAlignment="1">
      <alignment horizontal="right" vertical="center" wrapText="1"/>
    </xf>
    <xf numFmtId="0" fontId="21" fillId="10" borderId="27" xfId="0" applyFont="1" applyFill="1" applyBorder="1" applyAlignment="1">
      <alignment vertical="center" wrapText="1"/>
    </xf>
    <xf numFmtId="0" fontId="21" fillId="10" borderId="34" xfId="0" applyFont="1" applyFill="1" applyBorder="1" applyAlignment="1">
      <alignment vertical="center" wrapText="1"/>
    </xf>
    <xf numFmtId="167" fontId="6" fillId="11" borderId="32" xfId="0" applyNumberFormat="1" applyFont="1" applyFill="1" applyBorder="1" applyAlignment="1">
      <alignment horizontal="right"/>
    </xf>
    <xf numFmtId="167" fontId="6" fillId="11" borderId="0" xfId="0" applyNumberFormat="1" applyFont="1" applyFill="1" applyBorder="1" applyAlignment="1">
      <alignment horizontal="right"/>
    </xf>
    <xf numFmtId="0" fontId="28" fillId="11" borderId="0" xfId="0" applyFont="1" applyFill="1" applyBorder="1" applyAlignment="1">
      <alignment horizontal="center"/>
    </xf>
    <xf numFmtId="1" fontId="6" fillId="11" borderId="26" xfId="0" applyNumberFormat="1" applyFont="1" applyFill="1" applyBorder="1" applyAlignment="1">
      <alignment horizontal="right"/>
    </xf>
    <xf numFmtId="1" fontId="6" fillId="11" borderId="13" xfId="0" applyNumberFormat="1" applyFont="1" applyFill="1" applyBorder="1" applyAlignment="1">
      <alignment horizontal="right"/>
    </xf>
    <xf numFmtId="3" fontId="26" fillId="0" borderId="5" xfId="2" applyNumberFormat="1" applyFont="1" applyFill="1" applyBorder="1" applyAlignment="1">
      <alignment horizontal="right" vertical="center" wrapText="1"/>
    </xf>
    <xf numFmtId="0" fontId="25" fillId="12" borderId="0" xfId="2" applyFont="1" applyFill="1" applyAlignment="1">
      <alignment vertical="center" wrapText="1"/>
    </xf>
    <xf numFmtId="0" fontId="25" fillId="12" borderId="8" xfId="0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/>
    <xf numFmtId="177" fontId="7" fillId="0" borderId="4" xfId="0" applyNumberFormat="1" applyFont="1" applyBorder="1" applyAlignment="1">
      <alignment horizontal="center" vertical="center" wrapText="1"/>
    </xf>
    <xf numFmtId="171" fontId="7" fillId="12" borderId="28" xfId="0" applyNumberFormat="1" applyFont="1" applyFill="1" applyBorder="1" applyAlignment="1">
      <alignment vertical="center" wrapText="1"/>
    </xf>
    <xf numFmtId="15" fontId="7" fillId="12" borderId="6" xfId="0" applyNumberFormat="1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left" vertical="center" wrapText="1"/>
    </xf>
    <xf numFmtId="164" fontId="7" fillId="12" borderId="4" xfId="0" applyNumberFormat="1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31" fillId="12" borderId="5" xfId="0" applyFont="1" applyFill="1" applyBorder="1" applyAlignment="1">
      <alignment horizontal="center" vertical="center" wrapText="1"/>
    </xf>
    <xf numFmtId="177" fontId="7" fillId="12" borderId="4" xfId="0" applyNumberFormat="1" applyFont="1" applyFill="1" applyBorder="1" applyAlignment="1">
      <alignment horizontal="center" vertical="center" wrapText="1"/>
    </xf>
    <xf numFmtId="164" fontId="46" fillId="12" borderId="28" xfId="0" applyNumberFormat="1" applyFont="1" applyFill="1" applyBorder="1" applyAlignment="1">
      <alignment vertical="center" wrapText="1"/>
    </xf>
    <xf numFmtId="0" fontId="25" fillId="12" borderId="7" xfId="0" applyFont="1" applyFill="1" applyBorder="1" applyAlignment="1">
      <alignment vertical="center"/>
    </xf>
    <xf numFmtId="167" fontId="25" fillId="12" borderId="5" xfId="0" applyNumberFormat="1" applyFont="1" applyFill="1" applyBorder="1" applyAlignment="1">
      <alignment horizontal="right" vertical="center"/>
    </xf>
    <xf numFmtId="0" fontId="25" fillId="12" borderId="11" xfId="2" applyFont="1" applyFill="1" applyBorder="1" applyAlignment="1">
      <alignment horizontal="center" vertical="center" wrapText="1"/>
    </xf>
    <xf numFmtId="0" fontId="25" fillId="13" borderId="21" xfId="2" applyFont="1" applyFill="1" applyBorder="1" applyAlignment="1">
      <alignment horizontal="right" vertical="center" wrapText="1"/>
    </xf>
    <xf numFmtId="167" fontId="25" fillId="12" borderId="7" xfId="2" applyNumberFormat="1" applyFont="1" applyFill="1" applyBorder="1" applyAlignment="1">
      <alignment vertical="center" wrapText="1"/>
    </xf>
    <xf numFmtId="0" fontId="25" fillId="12" borderId="8" xfId="0" applyFont="1" applyFill="1" applyBorder="1" applyAlignment="1">
      <alignment vertical="center"/>
    </xf>
    <xf numFmtId="169" fontId="26" fillId="12" borderId="23" xfId="2" applyNumberFormat="1" applyFont="1" applyFill="1" applyBorder="1" applyAlignment="1">
      <alignment vertical="center" wrapText="1"/>
    </xf>
    <xf numFmtId="0" fontId="26" fillId="12" borderId="24" xfId="0" applyFont="1" applyFill="1" applyBorder="1" applyAlignment="1">
      <alignment horizontal="left" vertical="center"/>
    </xf>
    <xf numFmtId="0" fontId="25" fillId="12" borderId="14" xfId="0" applyFont="1" applyFill="1" applyBorder="1" applyAlignment="1">
      <alignment vertical="center"/>
    </xf>
    <xf numFmtId="0" fontId="25" fillId="12" borderId="12" xfId="0" applyFont="1" applyFill="1" applyBorder="1" applyAlignment="1">
      <alignment horizontal="left" vertical="center"/>
    </xf>
    <xf numFmtId="0" fontId="25" fillId="12" borderId="5" xfId="0" applyFont="1" applyFill="1" applyBorder="1" applyAlignment="1">
      <alignment vertical="center"/>
    </xf>
    <xf numFmtId="0" fontId="25" fillId="12" borderId="6" xfId="0" applyFont="1" applyFill="1" applyBorder="1" applyAlignment="1">
      <alignment horizontal="left" vertical="center"/>
    </xf>
    <xf numFmtId="0" fontId="25" fillId="13" borderId="5" xfId="2" applyFont="1" applyFill="1" applyBorder="1" applyAlignment="1">
      <alignment horizontal="right" vertical="center" wrapText="1"/>
    </xf>
    <xf numFmtId="15" fontId="25" fillId="12" borderId="21" xfId="2" applyNumberFormat="1" applyFont="1" applyFill="1" applyBorder="1" applyAlignment="1">
      <alignment horizontal="center" vertical="center" wrapText="1"/>
    </xf>
    <xf numFmtId="0" fontId="25" fillId="13" borderId="7" xfId="2" applyFont="1" applyFill="1" applyBorder="1" applyAlignment="1">
      <alignment horizontal="right" vertical="center" wrapText="1"/>
    </xf>
    <xf numFmtId="0" fontId="25" fillId="13" borderId="8" xfId="0" applyFont="1" applyFill="1" applyBorder="1" applyAlignment="1">
      <alignment horizontal="left" vertical="center" wrapText="1"/>
    </xf>
    <xf numFmtId="3" fontId="26" fillId="12" borderId="7" xfId="2" applyNumberFormat="1" applyFont="1" applyFill="1" applyBorder="1" applyAlignment="1">
      <alignment vertical="center" wrapText="1"/>
    </xf>
    <xf numFmtId="167" fontId="46" fillId="0" borderId="28" xfId="0" applyNumberFormat="1" applyFont="1" applyFill="1" applyBorder="1" applyAlignment="1">
      <alignment horizontal="right" vertical="center" wrapText="1"/>
    </xf>
    <xf numFmtId="0" fontId="25" fillId="3" borderId="16" xfId="0" applyFont="1" applyFill="1" applyBorder="1" applyAlignment="1">
      <alignment vertical="center"/>
    </xf>
    <xf numFmtId="0" fontId="25" fillId="3" borderId="17" xfId="0" applyFont="1" applyFill="1" applyBorder="1" applyAlignment="1">
      <alignment horizontal="left" vertical="center"/>
    </xf>
    <xf numFmtId="0" fontId="35" fillId="14" borderId="0" xfId="0" applyFont="1" applyFill="1" applyAlignment="1">
      <alignment vertical="center"/>
    </xf>
    <xf numFmtId="1" fontId="1" fillId="0" borderId="9" xfId="0" applyNumberFormat="1" applyFont="1" applyFill="1" applyBorder="1" applyAlignment="1">
      <alignment horizontal="justify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12" borderId="9" xfId="0" applyFont="1" applyFill="1" applyBorder="1" applyAlignment="1">
      <alignment horizontal="center" vertical="center"/>
    </xf>
    <xf numFmtId="3" fontId="1" fillId="12" borderId="5" xfId="0" applyNumberFormat="1" applyFont="1" applyFill="1" applyBorder="1" applyAlignment="1">
      <alignment horizontal="right" vertical="center"/>
    </xf>
    <xf numFmtId="17" fontId="1" fillId="12" borderId="5" xfId="0" applyNumberFormat="1" applyFont="1" applyFill="1" applyBorder="1" applyAlignment="1">
      <alignment horizontal="right" vertical="center"/>
    </xf>
    <xf numFmtId="167" fontId="25" fillId="0" borderId="5" xfId="0" applyNumberFormat="1" applyFont="1" applyFill="1" applyBorder="1" applyAlignment="1">
      <alignment horizontal="right" vertical="center"/>
    </xf>
    <xf numFmtId="167" fontId="25" fillId="12" borderId="14" xfId="0" applyNumberFormat="1" applyFont="1" applyFill="1" applyBorder="1" applyAlignment="1">
      <alignment horizontal="right" vertical="center"/>
    </xf>
    <xf numFmtId="167" fontId="25" fillId="12" borderId="5" xfId="0" applyNumberFormat="1" applyFont="1" applyFill="1" applyBorder="1" applyAlignment="1">
      <alignment horizontal="right" vertical="center"/>
    </xf>
    <xf numFmtId="15" fontId="25" fillId="0" borderId="19" xfId="0" applyNumberFormat="1" applyFont="1" applyFill="1" applyBorder="1" applyAlignment="1">
      <alignment horizontal="center" vertical="center"/>
    </xf>
    <xf numFmtId="172" fontId="25" fillId="12" borderId="19" xfId="0" applyNumberFormat="1" applyFont="1" applyFill="1" applyBorder="1" applyAlignment="1">
      <alignment horizontal="center" vertical="center"/>
    </xf>
    <xf numFmtId="0" fontId="25" fillId="0" borderId="5" xfId="2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left" vertical="center"/>
    </xf>
    <xf numFmtId="0" fontId="26" fillId="0" borderId="11" xfId="2" applyFont="1" applyFill="1" applyBorder="1" applyAlignment="1">
      <alignment horizontal="right" vertical="center" wrapText="1"/>
    </xf>
    <xf numFmtId="167" fontId="26" fillId="0" borderId="26" xfId="2" applyNumberFormat="1" applyFont="1" applyFill="1" applyBorder="1" applyAlignment="1">
      <alignment horizontal="right" vertical="center" wrapText="1"/>
    </xf>
    <xf numFmtId="167" fontId="26" fillId="0" borderId="11" xfId="2" applyNumberFormat="1" applyFont="1" applyFill="1" applyBorder="1" applyAlignment="1">
      <alignment horizontal="right" vertical="center" wrapText="1"/>
    </xf>
    <xf numFmtId="167" fontId="25" fillId="0" borderId="5" xfId="2" applyNumberFormat="1" applyFont="1" applyFill="1" applyBorder="1" applyAlignment="1">
      <alignment vertical="center" wrapText="1"/>
    </xf>
    <xf numFmtId="167" fontId="25" fillId="12" borderId="16" xfId="0" applyNumberFormat="1" applyFont="1" applyFill="1" applyBorder="1" applyAlignment="1">
      <alignment horizontal="right" vertical="center"/>
    </xf>
    <xf numFmtId="0" fontId="25" fillId="12" borderId="17" xfId="0" applyFont="1" applyFill="1" applyBorder="1" applyAlignment="1">
      <alignment horizontal="left" vertical="center"/>
    </xf>
    <xf numFmtId="15" fontId="25" fillId="12" borderId="64" xfId="2" applyNumberFormat="1" applyFont="1" applyFill="1" applyBorder="1" applyAlignment="1">
      <alignment horizontal="center" vertical="center" wrapText="1"/>
    </xf>
    <xf numFmtId="0" fontId="25" fillId="13" borderId="16" xfId="2" applyFont="1" applyFill="1" applyBorder="1" applyAlignment="1">
      <alignment horizontal="right" vertical="center" wrapText="1"/>
    </xf>
    <xf numFmtId="0" fontId="25" fillId="13" borderId="17" xfId="0" applyFont="1" applyFill="1" applyBorder="1" applyAlignment="1">
      <alignment horizontal="left" vertical="center" wrapText="1"/>
    </xf>
    <xf numFmtId="3" fontId="26" fillId="12" borderId="16" xfId="2" applyNumberFormat="1" applyFont="1" applyFill="1" applyBorder="1" applyAlignment="1">
      <alignment vertical="center" wrapText="1"/>
    </xf>
    <xf numFmtId="0" fontId="26" fillId="12" borderId="18" xfId="0" applyFont="1" applyFill="1" applyBorder="1" applyAlignment="1">
      <alignment horizontal="left" vertical="center"/>
    </xf>
    <xf numFmtId="0" fontId="26" fillId="12" borderId="13" xfId="0" applyFont="1" applyFill="1" applyBorder="1" applyAlignment="1">
      <alignment horizontal="left" vertical="center"/>
    </xf>
    <xf numFmtId="172" fontId="25" fillId="12" borderId="14" xfId="0" applyNumberFormat="1" applyFont="1" applyFill="1" applyBorder="1" applyAlignment="1">
      <alignment vertical="center"/>
    </xf>
    <xf numFmtId="172" fontId="25" fillId="12" borderId="26" xfId="0" applyNumberFormat="1" applyFont="1" applyFill="1" applyBorder="1" applyAlignment="1">
      <alignment vertical="center"/>
    </xf>
    <xf numFmtId="172" fontId="25" fillId="12" borderId="12" xfId="0" applyNumberFormat="1" applyFont="1" applyFill="1" applyBorder="1" applyAlignment="1">
      <alignment vertical="center"/>
    </xf>
    <xf numFmtId="172" fontId="25" fillId="12" borderId="11" xfId="0" applyNumberFormat="1" applyFont="1" applyFill="1" applyBorder="1" applyAlignment="1">
      <alignment vertical="center"/>
    </xf>
    <xf numFmtId="172" fontId="25" fillId="12" borderId="6" xfId="0" applyNumberFormat="1" applyFont="1" applyFill="1" applyBorder="1" applyAlignment="1">
      <alignment vertical="center"/>
    </xf>
    <xf numFmtId="172" fontId="25" fillId="12" borderId="7" xfId="0" applyNumberFormat="1" applyFont="1" applyFill="1" applyBorder="1" applyAlignment="1">
      <alignment vertical="center"/>
    </xf>
    <xf numFmtId="172" fontId="25" fillId="12" borderId="23" xfId="0" applyNumberFormat="1" applyFont="1" applyFill="1" applyBorder="1" applyAlignment="1">
      <alignment vertical="center"/>
    </xf>
    <xf numFmtId="172" fontId="25" fillId="12" borderId="8" xfId="0" applyNumberFormat="1" applyFont="1" applyFill="1" applyBorder="1" applyAlignment="1">
      <alignment vertical="center"/>
    </xf>
    <xf numFmtId="172" fontId="25" fillId="12" borderId="0" xfId="0" applyNumberFormat="1" applyFont="1" applyFill="1" applyBorder="1" applyAlignment="1">
      <alignment vertical="center"/>
    </xf>
    <xf numFmtId="172" fontId="25" fillId="12" borderId="20" xfId="0" applyNumberFormat="1" applyFont="1" applyFill="1" applyBorder="1" applyAlignment="1">
      <alignment vertical="center"/>
    </xf>
    <xf numFmtId="15" fontId="25" fillId="0" borderId="5" xfId="0" applyNumberFormat="1" applyFont="1" applyFill="1" applyBorder="1" applyAlignment="1">
      <alignment horizontal="left" vertical="center"/>
    </xf>
    <xf numFmtId="15" fontId="25" fillId="0" borderId="11" xfId="0" applyNumberFormat="1" applyFont="1" applyFill="1" applyBorder="1" applyAlignment="1">
      <alignment horizontal="left" vertical="center"/>
    </xf>
    <xf numFmtId="15" fontId="25" fillId="0" borderId="6" xfId="0" applyNumberFormat="1" applyFont="1" applyFill="1" applyBorder="1" applyAlignment="1">
      <alignment horizontal="left" vertical="center"/>
    </xf>
    <xf numFmtId="15" fontId="25" fillId="0" borderId="23" xfId="0" applyNumberFormat="1" applyFont="1" applyFill="1" applyBorder="1" applyAlignment="1">
      <alignment horizontal="left" vertical="center"/>
    </xf>
    <xf numFmtId="15" fontId="25" fillId="0" borderId="8" xfId="0" applyNumberFormat="1" applyFont="1" applyFill="1" applyBorder="1" applyAlignment="1">
      <alignment horizontal="left" vertical="center"/>
    </xf>
    <xf numFmtId="172" fontId="25" fillId="12" borderId="23" xfId="0" applyNumberFormat="1" applyFont="1" applyFill="1" applyBorder="1" applyAlignment="1">
      <alignment horizontal="left" vertical="center"/>
    </xf>
    <xf numFmtId="172" fontId="25" fillId="12" borderId="8" xfId="0" applyNumberFormat="1" applyFont="1" applyFill="1" applyBorder="1" applyAlignment="1">
      <alignment horizontal="left" vertical="center"/>
    </xf>
    <xf numFmtId="172" fontId="25" fillId="12" borderId="5" xfId="0" applyNumberFormat="1" applyFont="1" applyFill="1" applyBorder="1" applyAlignment="1">
      <alignment horizontal="left" vertical="center"/>
    </xf>
    <xf numFmtId="172" fontId="25" fillId="12" borderId="11" xfId="0" applyNumberFormat="1" applyFont="1" applyFill="1" applyBorder="1" applyAlignment="1">
      <alignment horizontal="left" vertical="center"/>
    </xf>
    <xf numFmtId="172" fontId="25" fillId="12" borderId="6" xfId="0" applyNumberFormat="1" applyFont="1" applyFill="1" applyBorder="1" applyAlignment="1">
      <alignment horizontal="left" vertical="center"/>
    </xf>
    <xf numFmtId="15" fontId="25" fillId="0" borderId="19" xfId="0" applyNumberFormat="1" applyFont="1" applyFill="1" applyBorder="1" applyAlignment="1">
      <alignment horizontal="left" vertical="center"/>
    </xf>
    <xf numFmtId="15" fontId="25" fillId="0" borderId="0" xfId="0" applyNumberFormat="1" applyFont="1" applyFill="1" applyBorder="1" applyAlignment="1">
      <alignment horizontal="left" vertical="center"/>
    </xf>
    <xf numFmtId="15" fontId="25" fillId="0" borderId="20" xfId="0" applyNumberFormat="1" applyFont="1" applyFill="1" applyBorder="1" applyAlignment="1">
      <alignment horizontal="left" vertical="center"/>
    </xf>
    <xf numFmtId="167" fontId="25" fillId="12" borderId="26" xfId="0" applyNumberFormat="1" applyFont="1" applyFill="1" applyBorder="1" applyAlignment="1">
      <alignment vertical="center"/>
    </xf>
    <xf numFmtId="167" fontId="25" fillId="12" borderId="12" xfId="0" applyNumberFormat="1" applyFont="1" applyFill="1" applyBorder="1" applyAlignment="1">
      <alignment vertical="center"/>
    </xf>
    <xf numFmtId="167" fontId="25" fillId="12" borderId="23" xfId="0" applyNumberFormat="1" applyFont="1" applyFill="1" applyBorder="1" applyAlignment="1">
      <alignment vertical="center"/>
    </xf>
    <xf numFmtId="167" fontId="25" fillId="12" borderId="8" xfId="0" applyNumberFormat="1" applyFont="1" applyFill="1" applyBorder="1" applyAlignment="1">
      <alignment vertical="center"/>
    </xf>
    <xf numFmtId="15" fontId="25" fillId="0" borderId="26" xfId="0" applyNumberFormat="1" applyFont="1" applyFill="1" applyBorder="1" applyAlignment="1">
      <alignment horizontal="left" vertical="center"/>
    </xf>
    <xf numFmtId="15" fontId="25" fillId="0" borderId="12" xfId="0" applyNumberFormat="1" applyFont="1" applyFill="1" applyBorder="1" applyAlignment="1">
      <alignment horizontal="left" vertical="center"/>
    </xf>
    <xf numFmtId="0" fontId="25" fillId="12" borderId="19" xfId="2" applyFont="1" applyFill="1" applyBorder="1" applyAlignment="1">
      <alignment vertical="center" wrapText="1"/>
    </xf>
    <xf numFmtId="0" fontId="25" fillId="12" borderId="0" xfId="2" applyFont="1" applyFill="1" applyBorder="1" applyAlignment="1">
      <alignment vertical="center" wrapText="1"/>
    </xf>
    <xf numFmtId="0" fontId="25" fillId="12" borderId="20" xfId="2" applyFont="1" applyFill="1" applyBorder="1" applyAlignment="1">
      <alignment vertical="center" wrapText="1"/>
    </xf>
    <xf numFmtId="172" fontId="25" fillId="12" borderId="0" xfId="0" applyNumberFormat="1" applyFont="1" applyFill="1" applyBorder="1" applyAlignment="1">
      <alignment horizontal="left" vertical="center"/>
    </xf>
    <xf numFmtId="172" fontId="25" fillId="12" borderId="20" xfId="0" applyNumberFormat="1" applyFont="1" applyFill="1" applyBorder="1" applyAlignment="1">
      <alignment horizontal="left" vertical="center"/>
    </xf>
    <xf numFmtId="172" fontId="25" fillId="12" borderId="19" xfId="0" applyNumberFormat="1" applyFont="1" applyFill="1" applyBorder="1" applyAlignment="1">
      <alignment horizontal="left" vertical="center"/>
    </xf>
    <xf numFmtId="172" fontId="25" fillId="12" borderId="26" xfId="0" applyNumberFormat="1" applyFont="1" applyFill="1" applyBorder="1" applyAlignment="1">
      <alignment horizontal="left" vertical="center"/>
    </xf>
    <xf numFmtId="172" fontId="25" fillId="12" borderId="12" xfId="0" applyNumberFormat="1" applyFont="1" applyFill="1" applyBorder="1" applyAlignment="1">
      <alignment horizontal="left" vertical="center"/>
    </xf>
    <xf numFmtId="0" fontId="25" fillId="12" borderId="26" xfId="2" applyFont="1" applyFill="1" applyBorder="1" applyAlignment="1">
      <alignment horizontal="center" vertical="center" wrapText="1"/>
    </xf>
    <xf numFmtId="0" fontId="25" fillId="13" borderId="14" xfId="2" applyFont="1" applyFill="1" applyBorder="1" applyAlignment="1">
      <alignment horizontal="right" vertical="center" wrapText="1"/>
    </xf>
    <xf numFmtId="0" fontId="25" fillId="13" borderId="12" xfId="0" applyFont="1" applyFill="1" applyBorder="1" applyAlignment="1">
      <alignment horizontal="left" vertical="center" wrapText="1"/>
    </xf>
    <xf numFmtId="0" fontId="25" fillId="13" borderId="6" xfId="0" applyFont="1" applyFill="1" applyBorder="1" applyAlignment="1">
      <alignment horizontal="left" vertical="center" wrapText="1"/>
    </xf>
    <xf numFmtId="0" fontId="26" fillId="12" borderId="25" xfId="0" applyFont="1" applyFill="1" applyBorder="1" applyAlignment="1">
      <alignment horizontal="left" vertical="center"/>
    </xf>
    <xf numFmtId="49" fontId="35" fillId="0" borderId="0" xfId="0" applyNumberFormat="1" applyFont="1" applyFill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justify"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49" fontId="48" fillId="0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167" fontId="1" fillId="0" borderId="7" xfId="0" applyNumberFormat="1" applyFont="1" applyFill="1" applyBorder="1" applyAlignment="1">
      <alignment horizontal="right" vertical="center"/>
    </xf>
    <xf numFmtId="1" fontId="1" fillId="0" borderId="7" xfId="0" applyNumberFormat="1" applyFont="1" applyFill="1" applyBorder="1" applyAlignment="1">
      <alignment horizontal="justify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/>
    </xf>
    <xf numFmtId="15" fontId="1" fillId="0" borderId="9" xfId="0" applyNumberFormat="1" applyFont="1" applyFill="1" applyBorder="1" applyAlignment="1">
      <alignment horizontal="center" vertical="center"/>
    </xf>
    <xf numFmtId="169" fontId="1" fillId="0" borderId="7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17" fontId="1" fillId="0" borderId="7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17" fontId="1" fillId="0" borderId="14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/>
    </xf>
    <xf numFmtId="1" fontId="1" fillId="0" borderId="4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center" vertical="center"/>
    </xf>
    <xf numFmtId="169" fontId="1" fillId="0" borderId="5" xfId="0" applyNumberFormat="1" applyFont="1" applyFill="1" applyBorder="1" applyAlignment="1">
      <alignment horizontal="right" vertical="center"/>
    </xf>
    <xf numFmtId="167" fontId="1" fillId="0" borderId="5" xfId="0" applyNumberFormat="1" applyFont="1" applyFill="1" applyBorder="1" applyAlignment="1">
      <alignment horizontal="right" vertical="center"/>
    </xf>
    <xf numFmtId="17" fontId="1" fillId="0" borderId="5" xfId="0" applyNumberFormat="1" applyFont="1" applyFill="1" applyBorder="1" applyAlignment="1">
      <alignment horizontal="right" vertical="center"/>
    </xf>
    <xf numFmtId="1" fontId="1" fillId="0" borderId="36" xfId="0" applyNumberFormat="1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justify" vertical="center"/>
    </xf>
    <xf numFmtId="49" fontId="1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15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justify" vertical="center" wrapText="1"/>
    </xf>
    <xf numFmtId="1" fontId="1" fillId="0" borderId="14" xfId="0" applyNumberFormat="1" applyFont="1" applyFill="1" applyBorder="1" applyAlignment="1">
      <alignment horizontal="justify" vertical="center" wrapText="1"/>
    </xf>
    <xf numFmtId="15" fontId="1" fillId="0" borderId="10" xfId="0" applyNumberFormat="1" applyFont="1" applyFill="1" applyBorder="1" applyAlignment="1">
      <alignment horizontal="center" vertical="center"/>
    </xf>
    <xf numFmtId="169" fontId="1" fillId="0" borderId="14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right" vertical="center"/>
    </xf>
    <xf numFmtId="49" fontId="1" fillId="0" borderId="36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right" vertical="center"/>
    </xf>
    <xf numFmtId="169" fontId="1" fillId="0" borderId="19" xfId="0" applyNumberFormat="1" applyFont="1" applyFill="1" applyBorder="1" applyAlignment="1">
      <alignment horizontal="right" vertical="center"/>
    </xf>
    <xf numFmtId="1" fontId="1" fillId="0" borderId="10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justify" vertical="center" wrapText="1"/>
    </xf>
    <xf numFmtId="0" fontId="48" fillId="0" borderId="6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justify" vertical="center" wrapText="1"/>
    </xf>
    <xf numFmtId="1" fontId="1" fillId="0" borderId="19" xfId="0" applyNumberFormat="1" applyFont="1" applyFill="1" applyBorder="1" applyAlignment="1">
      <alignment horizontal="justify" vertical="center" wrapText="1"/>
    </xf>
    <xf numFmtId="1" fontId="1" fillId="0" borderId="5" xfId="0" applyNumberFormat="1" applyFont="1" applyFill="1" applyBorder="1" applyAlignment="1">
      <alignment horizontal="justify" vertical="center" wrapText="1"/>
    </xf>
    <xf numFmtId="1" fontId="1" fillId="0" borderId="14" xfId="0" applyNumberFormat="1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right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center"/>
    </xf>
    <xf numFmtId="0" fontId="1" fillId="17" borderId="27" xfId="0" applyFont="1" applyFill="1" applyBorder="1" applyAlignment="1">
      <alignment horizontal="left" vertical="center"/>
    </xf>
    <xf numFmtId="3" fontId="63" fillId="17" borderId="55" xfId="0" applyNumberFormat="1" applyFont="1" applyFill="1" applyBorder="1" applyAlignment="1">
      <alignment horizontal="center" vertical="center"/>
    </xf>
    <xf numFmtId="0" fontId="1" fillId="17" borderId="34" xfId="0" applyFont="1" applyFill="1" applyBorder="1" applyAlignment="1">
      <alignment horizontal="left" vertical="center"/>
    </xf>
    <xf numFmtId="0" fontId="1" fillId="17" borderId="6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17" borderId="62" xfId="0" applyFont="1" applyFill="1" applyBorder="1" applyAlignment="1">
      <alignment horizontal="left" vertical="top"/>
    </xf>
    <xf numFmtId="0" fontId="1" fillId="17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vertical="center" wrapText="1"/>
    </xf>
    <xf numFmtId="169" fontId="1" fillId="0" borderId="14" xfId="0" applyNumberFormat="1" applyFont="1" applyFill="1" applyBorder="1" applyAlignment="1">
      <alignment vertical="center"/>
    </xf>
    <xf numFmtId="167" fontId="1" fillId="0" borderId="1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3" fontId="1" fillId="0" borderId="19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49" fontId="1" fillId="17" borderId="55" xfId="0" applyNumberFormat="1" applyFont="1" applyFill="1" applyBorder="1" applyAlignment="1">
      <alignment vertical="center"/>
    </xf>
    <xf numFmtId="3" fontId="1" fillId="17" borderId="27" xfId="0" applyNumberFormat="1" applyFont="1" applyFill="1" applyBorder="1" applyAlignment="1">
      <alignment horizontal="right" vertical="center"/>
    </xf>
    <xf numFmtId="0" fontId="1" fillId="17" borderId="27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  <xf numFmtId="169" fontId="1" fillId="0" borderId="5" xfId="0" applyNumberFormat="1" applyFont="1" applyFill="1" applyBorder="1" applyAlignment="1">
      <alignment vertical="center"/>
    </xf>
    <xf numFmtId="3" fontId="1" fillId="17" borderId="56" xfId="0" applyNumberFormat="1" applyFont="1" applyFill="1" applyBorder="1" applyAlignment="1">
      <alignment horizontal="right" vertical="center"/>
    </xf>
    <xf numFmtId="3" fontId="1" fillId="17" borderId="0" xfId="0" applyNumberFormat="1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left" vertical="center"/>
    </xf>
    <xf numFmtId="0" fontId="1" fillId="17" borderId="0" xfId="0" applyFont="1" applyFill="1" applyBorder="1" applyAlignment="1">
      <alignment horizontal="center" vertical="center"/>
    </xf>
    <xf numFmtId="169" fontId="1" fillId="17" borderId="19" xfId="0" applyNumberFormat="1" applyFont="1" applyFill="1" applyBorder="1" applyAlignment="1">
      <alignment horizontal="right" vertical="center"/>
    </xf>
    <xf numFmtId="0" fontId="1" fillId="17" borderId="20" xfId="0" applyFont="1" applyFill="1" applyBorder="1" applyAlignment="1">
      <alignment horizontal="left" vertical="center"/>
    </xf>
    <xf numFmtId="169" fontId="1" fillId="17" borderId="0" xfId="0" applyNumberFormat="1" applyFont="1" applyFill="1" applyBorder="1" applyAlignment="1">
      <alignment horizontal="right" vertical="center"/>
    </xf>
    <xf numFmtId="0" fontId="1" fillId="17" borderId="22" xfId="0" applyFont="1" applyFill="1" applyBorder="1" applyAlignment="1">
      <alignment horizontal="left" vertical="center"/>
    </xf>
    <xf numFmtId="49" fontId="1" fillId="17" borderId="36" xfId="0" applyNumberFormat="1" applyFont="1" applyFill="1" applyBorder="1" applyAlignment="1">
      <alignment horizontal="center" vertical="center"/>
    </xf>
    <xf numFmtId="3" fontId="1" fillId="17" borderId="19" xfId="0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178" fontId="7" fillId="12" borderId="29" xfId="0" applyNumberFormat="1" applyFont="1" applyFill="1" applyBorder="1" applyAlignment="1">
      <alignment horizontal="right" vertical="center" wrapText="1"/>
    </xf>
    <xf numFmtId="164" fontId="7" fillId="0" borderId="60" xfId="0" applyNumberFormat="1" applyFont="1" applyBorder="1" applyAlignment="1">
      <alignment vertical="center" wrapText="1"/>
    </xf>
    <xf numFmtId="164" fontId="46" fillId="0" borderId="38" xfId="0" applyNumberFormat="1" applyFont="1" applyBorder="1" applyAlignment="1">
      <alignment vertical="center" wrapText="1"/>
    </xf>
    <xf numFmtId="178" fontId="7" fillId="12" borderId="15" xfId="0" applyNumberFormat="1" applyFont="1" applyFill="1" applyBorder="1" applyAlignment="1">
      <alignment horizontal="right" vertical="center" wrapText="1"/>
    </xf>
    <xf numFmtId="178" fontId="7" fillId="12" borderId="28" xfId="0" applyNumberFormat="1" applyFont="1" applyFill="1" applyBorder="1" applyAlignment="1">
      <alignment horizontal="right" vertical="center" wrapText="1"/>
    </xf>
    <xf numFmtId="164" fontId="7" fillId="12" borderId="15" xfId="0" applyNumberFormat="1" applyFont="1" applyFill="1" applyBorder="1" applyAlignment="1">
      <alignment vertical="center" wrapText="1"/>
    </xf>
    <xf numFmtId="164" fontId="1" fillId="12" borderId="6" xfId="0" applyNumberFormat="1" applyFont="1" applyFill="1" applyBorder="1" applyAlignment="1">
      <alignment vertical="center" wrapText="1"/>
    </xf>
    <xf numFmtId="166" fontId="1" fillId="12" borderId="3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0" fontId="30" fillId="9" borderId="0" xfId="0" applyNumberFormat="1" applyFont="1" applyFill="1" applyBorder="1" applyAlignment="1">
      <alignment horizontal="left" vertical="center"/>
    </xf>
    <xf numFmtId="166" fontId="1" fillId="0" borderId="31" xfId="0" applyNumberFormat="1" applyFont="1" applyBorder="1" applyAlignment="1">
      <alignment horizontal="center" vertical="center" wrapText="1"/>
    </xf>
    <xf numFmtId="178" fontId="7" fillId="0" borderId="29" xfId="0" applyNumberFormat="1" applyFont="1" applyBorder="1" applyAlignment="1">
      <alignment horizontal="right" vertical="center" wrapText="1"/>
    </xf>
    <xf numFmtId="178" fontId="7" fillId="0" borderId="15" xfId="0" applyNumberFormat="1" applyFont="1" applyBorder="1" applyAlignment="1">
      <alignment horizontal="right" vertical="center" wrapText="1"/>
    </xf>
    <xf numFmtId="178" fontId="7" fillId="0" borderId="28" xfId="0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vertical="center" wrapText="1"/>
    </xf>
    <xf numFmtId="167" fontId="25" fillId="0" borderId="5" xfId="0" applyNumberFormat="1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/>
    </xf>
    <xf numFmtId="17" fontId="10" fillId="0" borderId="22" xfId="0" applyNumberFormat="1" applyFont="1" applyFill="1" applyBorder="1" applyAlignment="1"/>
    <xf numFmtId="14" fontId="10" fillId="0" borderId="0" xfId="0" applyNumberFormat="1" applyFont="1" applyFill="1" applyBorder="1" applyAlignment="1"/>
    <xf numFmtId="0" fontId="25" fillId="0" borderId="14" xfId="0" applyFont="1" applyFill="1" applyBorder="1" applyAlignment="1">
      <alignment horizontal="left" vertical="center" wrapText="1"/>
    </xf>
    <xf numFmtId="0" fontId="25" fillId="12" borderId="12" xfId="0" applyFont="1" applyFill="1" applyBorder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5" fillId="0" borderId="8" xfId="0" applyFont="1" applyFill="1" applyBorder="1" applyAlignment="1">
      <alignment vertical="center"/>
    </xf>
    <xf numFmtId="0" fontId="25" fillId="12" borderId="6" xfId="0" applyFont="1" applyFill="1" applyBorder="1" applyAlignment="1">
      <alignment vertical="center"/>
    </xf>
    <xf numFmtId="169" fontId="1" fillId="0" borderId="15" xfId="0" applyNumberFormat="1" applyFont="1" applyFill="1" applyBorder="1" applyAlignment="1">
      <alignment horizontal="right" vertical="center" wrapText="1"/>
    </xf>
    <xf numFmtId="15" fontId="1" fillId="0" borderId="9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164" fontId="1" fillId="0" borderId="21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horizontal="left" vertical="center" wrapText="1"/>
    </xf>
    <xf numFmtId="169" fontId="1" fillId="0" borderId="14" xfId="0" applyNumberFormat="1" applyFont="1" applyFill="1" applyBorder="1" applyAlignment="1">
      <alignment horizontal="right" vertical="center"/>
    </xf>
    <xf numFmtId="169" fontId="1" fillId="0" borderId="5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67" fontId="1" fillId="0" borderId="14" xfId="0" applyNumberFormat="1" applyFont="1" applyFill="1" applyBorder="1" applyAlignment="1">
      <alignment horizontal="right" vertical="center"/>
    </xf>
    <xf numFmtId="167" fontId="1" fillId="0" borderId="5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25" fillId="12" borderId="0" xfId="2" applyFont="1" applyFill="1" applyAlignment="1">
      <alignment vertical="center"/>
    </xf>
    <xf numFmtId="49" fontId="14" fillId="8" borderId="9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1" fillId="0" borderId="0" xfId="0" applyFont="1" applyFill="1"/>
    <xf numFmtId="1" fontId="1" fillId="0" borderId="4" xfId="0" applyNumberFormat="1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/>
    </xf>
    <xf numFmtId="4" fontId="35" fillId="0" borderId="87" xfId="0" applyNumberFormat="1" applyFont="1" applyFill="1" applyBorder="1" applyAlignment="1">
      <alignment horizontal="center" vertical="center"/>
    </xf>
    <xf numFmtId="4" fontId="35" fillId="0" borderId="28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vertical="center" wrapText="1"/>
    </xf>
    <xf numFmtId="0" fontId="25" fillId="17" borderId="10" xfId="2" applyFont="1" applyFill="1" applyBorder="1" applyAlignment="1">
      <alignment horizontal="center" vertical="center"/>
    </xf>
    <xf numFmtId="0" fontId="25" fillId="17" borderId="4" xfId="2" applyFont="1" applyFill="1" applyBorder="1" applyAlignment="1">
      <alignment horizontal="center" vertical="center"/>
    </xf>
    <xf numFmtId="0" fontId="25" fillId="17" borderId="14" xfId="2" applyFont="1" applyFill="1" applyBorder="1" applyAlignment="1">
      <alignment vertical="center"/>
    </xf>
    <xf numFmtId="0" fontId="25" fillId="17" borderId="26" xfId="2" applyFont="1" applyFill="1" applyBorder="1"/>
    <xf numFmtId="0" fontId="25" fillId="17" borderId="12" xfId="2" applyFont="1" applyFill="1" applyBorder="1"/>
    <xf numFmtId="0" fontId="25" fillId="17" borderId="5" xfId="2" applyFont="1" applyFill="1" applyBorder="1" applyAlignment="1">
      <alignment vertical="center"/>
    </xf>
    <xf numFmtId="0" fontId="25" fillId="17" borderId="11" xfId="2" applyFont="1" applyFill="1" applyBorder="1"/>
    <xf numFmtId="0" fontId="25" fillId="17" borderId="6" xfId="2" applyFont="1" applyFill="1" applyBorder="1"/>
    <xf numFmtId="0" fontId="25" fillId="17" borderId="0" xfId="2" applyFont="1" applyFill="1" applyBorder="1" applyAlignment="1">
      <alignment horizontal="right" vertical="center"/>
    </xf>
    <xf numFmtId="0" fontId="25" fillId="17" borderId="0" xfId="2" applyFont="1" applyFill="1" applyBorder="1"/>
    <xf numFmtId="0" fontId="25" fillId="17" borderId="11" xfId="2" applyFont="1" applyFill="1" applyBorder="1" applyAlignment="1">
      <alignment horizontal="right" vertical="center"/>
    </xf>
    <xf numFmtId="15" fontId="25" fillId="17" borderId="11" xfId="2" applyNumberFormat="1" applyFont="1" applyFill="1" applyBorder="1" applyAlignment="1">
      <alignment horizontal="center" vertical="center"/>
    </xf>
    <xf numFmtId="0" fontId="26" fillId="17" borderId="7" xfId="2" applyFont="1" applyFill="1" applyBorder="1" applyAlignment="1">
      <alignment vertical="center"/>
    </xf>
    <xf numFmtId="0" fontId="25" fillId="17" borderId="23" xfId="2" applyFont="1" applyFill="1" applyBorder="1" applyAlignment="1">
      <alignment horizontal="right" vertical="center"/>
    </xf>
    <xf numFmtId="15" fontId="25" fillId="17" borderId="8" xfId="2" applyNumberFormat="1" applyFont="1" applyFill="1" applyBorder="1" applyAlignment="1">
      <alignment horizontal="center" vertical="center"/>
    </xf>
    <xf numFmtId="0" fontId="26" fillId="17" borderId="7" xfId="2" applyFont="1" applyFill="1" applyBorder="1" applyAlignment="1"/>
    <xf numFmtId="0" fontId="26" fillId="17" borderId="23" xfId="2" applyFont="1" applyFill="1" applyBorder="1" applyAlignment="1"/>
    <xf numFmtId="0" fontId="26" fillId="17" borderId="8" xfId="2" applyFont="1" applyFill="1" applyBorder="1" applyAlignment="1"/>
    <xf numFmtId="0" fontId="25" fillId="17" borderId="23" xfId="2" applyFont="1" applyFill="1" applyBorder="1" applyAlignment="1">
      <alignment horizontal="center" vertical="center"/>
    </xf>
    <xf numFmtId="0" fontId="25" fillId="17" borderId="23" xfId="2" applyFont="1" applyFill="1" applyBorder="1"/>
    <xf numFmtId="0" fontId="25" fillId="17" borderId="8" xfId="2" applyFont="1" applyFill="1" applyBorder="1"/>
    <xf numFmtId="49" fontId="26" fillId="17" borderId="56" xfId="2" applyNumberFormat="1" applyFont="1" applyFill="1" applyBorder="1" applyAlignment="1">
      <alignment vertical="center" wrapText="1"/>
    </xf>
    <xf numFmtId="49" fontId="26" fillId="17" borderId="69" xfId="2" applyNumberFormat="1" applyFont="1" applyFill="1" applyBorder="1" applyAlignment="1">
      <alignment horizontal="left" vertical="center" wrapText="1"/>
    </xf>
    <xf numFmtId="49" fontId="26" fillId="17" borderId="37" xfId="2" applyNumberFormat="1" applyFont="1" applyFill="1" applyBorder="1" applyAlignment="1">
      <alignment horizontal="center" vertical="center" wrapText="1"/>
    </xf>
    <xf numFmtId="49" fontId="26" fillId="17" borderId="16" xfId="2" applyNumberFormat="1" applyFont="1" applyFill="1" applyBorder="1" applyAlignment="1">
      <alignment horizontal="center" vertical="center" wrapText="1"/>
    </xf>
    <xf numFmtId="15" fontId="26" fillId="17" borderId="35" xfId="2" applyNumberFormat="1" applyFont="1" applyFill="1" applyBorder="1" applyAlignment="1">
      <alignment horizontal="center" vertical="center" wrapText="1"/>
    </xf>
    <xf numFmtId="49" fontId="27" fillId="17" borderId="5" xfId="2" applyNumberFormat="1" applyFont="1" applyFill="1" applyBorder="1" applyAlignment="1">
      <alignment horizontal="left" vertical="center" wrapText="1"/>
    </xf>
    <xf numFmtId="49" fontId="26" fillId="17" borderId="11" xfId="2" applyNumberFormat="1" applyFont="1" applyFill="1" applyBorder="1" applyAlignment="1">
      <alignment vertical="center" wrapText="1"/>
    </xf>
    <xf numFmtId="49" fontId="26" fillId="17" borderId="11" xfId="2" applyNumberFormat="1" applyFont="1" applyFill="1" applyBorder="1" applyAlignment="1">
      <alignment horizontal="left" vertical="center" wrapText="1"/>
    </xf>
    <xf numFmtId="49" fontId="26" fillId="17" borderId="11" xfId="2" applyNumberFormat="1" applyFont="1" applyFill="1" applyBorder="1" applyAlignment="1">
      <alignment horizontal="center" vertical="center" wrapText="1"/>
    </xf>
    <xf numFmtId="15" fontId="26" fillId="17" borderId="11" xfId="2" applyNumberFormat="1" applyFont="1" applyFill="1" applyBorder="1" applyAlignment="1">
      <alignment horizontal="center" vertical="center" wrapText="1"/>
    </xf>
    <xf numFmtId="49" fontId="26" fillId="17" borderId="11" xfId="2" applyNumberFormat="1" applyFont="1" applyFill="1" applyBorder="1" applyAlignment="1">
      <alignment horizontal="right" vertical="center" wrapText="1"/>
    </xf>
    <xf numFmtId="0" fontId="26" fillId="17" borderId="11" xfId="2" applyFont="1" applyFill="1" applyBorder="1" applyAlignment="1">
      <alignment horizontal="right" vertical="center"/>
    </xf>
    <xf numFmtId="0" fontId="26" fillId="17" borderId="6" xfId="2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left"/>
    </xf>
    <xf numFmtId="0" fontId="25" fillId="17" borderId="62" xfId="0" applyFont="1" applyFill="1" applyBorder="1" applyAlignment="1">
      <alignment vertical="center" wrapText="1"/>
    </xf>
    <xf numFmtId="0" fontId="25" fillId="17" borderId="62" xfId="0" applyFont="1" applyFill="1" applyBorder="1" applyAlignment="1">
      <alignment horizontal="left" vertical="center" wrapText="1"/>
    </xf>
    <xf numFmtId="15" fontId="25" fillId="17" borderId="62" xfId="2" applyNumberFormat="1" applyFont="1" applyFill="1" applyBorder="1" applyAlignment="1">
      <alignment horizontal="center" vertical="center" wrapText="1"/>
    </xf>
    <xf numFmtId="0" fontId="25" fillId="17" borderId="62" xfId="2" applyFont="1" applyFill="1" applyBorder="1" applyAlignment="1">
      <alignment vertical="center" wrapText="1"/>
    </xf>
    <xf numFmtId="0" fontId="25" fillId="17" borderId="62" xfId="2" applyFont="1" applyFill="1" applyBorder="1" applyAlignment="1">
      <alignment horizontal="center" vertical="center" wrapText="1"/>
    </xf>
    <xf numFmtId="0" fontId="25" fillId="17" borderId="62" xfId="2" applyFont="1" applyFill="1" applyBorder="1" applyAlignment="1">
      <alignment horizontal="right" vertical="center" wrapText="1"/>
    </xf>
    <xf numFmtId="0" fontId="25" fillId="17" borderId="3" xfId="0" applyFont="1" applyFill="1" applyBorder="1" applyAlignment="1">
      <alignment horizontal="left" vertical="center" wrapText="1"/>
    </xf>
    <xf numFmtId="0" fontId="27" fillId="17" borderId="5" xfId="0" applyFont="1" applyFill="1" applyBorder="1" applyAlignment="1">
      <alignment horizontal="left"/>
    </xf>
    <xf numFmtId="0" fontId="25" fillId="17" borderId="11" xfId="0" applyFont="1" applyFill="1" applyBorder="1" applyAlignment="1">
      <alignment vertical="center"/>
    </xf>
    <xf numFmtId="172" fontId="25" fillId="17" borderId="11" xfId="0" applyNumberFormat="1" applyFont="1" applyFill="1" applyBorder="1" applyAlignment="1">
      <alignment horizontal="center" vertical="center"/>
    </xf>
    <xf numFmtId="167" fontId="25" fillId="17" borderId="11" xfId="0" applyNumberFormat="1" applyFont="1" applyFill="1" applyBorder="1" applyAlignment="1">
      <alignment vertical="center"/>
    </xf>
    <xf numFmtId="0" fontId="25" fillId="17" borderId="11" xfId="2" applyFont="1" applyFill="1" applyBorder="1" applyAlignment="1">
      <alignment horizontal="center" vertical="center" wrapText="1"/>
    </xf>
    <xf numFmtId="15" fontId="25" fillId="17" borderId="11" xfId="2" applyNumberFormat="1" applyFont="1" applyFill="1" applyBorder="1" applyAlignment="1">
      <alignment horizontal="center" vertical="center" wrapText="1"/>
    </xf>
    <xf numFmtId="167" fontId="25" fillId="17" borderId="11" xfId="2" applyNumberFormat="1" applyFont="1" applyFill="1" applyBorder="1" applyAlignment="1">
      <alignment horizontal="right" vertical="center" wrapText="1"/>
    </xf>
    <xf numFmtId="0" fontId="25" fillId="17" borderId="11" xfId="0" applyFont="1" applyFill="1" applyBorder="1" applyAlignment="1">
      <alignment horizontal="left" vertical="center" wrapText="1"/>
    </xf>
    <xf numFmtId="0" fontId="25" fillId="17" borderId="11" xfId="2" applyFont="1" applyFill="1" applyBorder="1" applyAlignment="1">
      <alignment horizontal="right" vertical="center" wrapText="1"/>
    </xf>
    <xf numFmtId="0" fontId="25" fillId="17" borderId="6" xfId="0" applyFont="1" applyFill="1" applyBorder="1" applyAlignment="1">
      <alignment horizontal="left" vertical="center"/>
    </xf>
    <xf numFmtId="0" fontId="25" fillId="17" borderId="11" xfId="0" applyFont="1" applyFill="1" applyBorder="1" applyAlignment="1">
      <alignment horizontal="left" vertical="center"/>
    </xf>
    <xf numFmtId="0" fontId="25" fillId="17" borderId="62" xfId="0" applyFont="1" applyFill="1" applyBorder="1" applyAlignment="1">
      <alignment horizontal="left" vertical="center"/>
    </xf>
    <xf numFmtId="172" fontId="25" fillId="17" borderId="62" xfId="0" applyNumberFormat="1" applyFont="1" applyFill="1" applyBorder="1" applyAlignment="1">
      <alignment horizontal="center" vertical="center"/>
    </xf>
    <xf numFmtId="167" fontId="25" fillId="17" borderId="62" xfId="0" applyNumberFormat="1" applyFont="1" applyFill="1" applyBorder="1" applyAlignment="1">
      <alignment horizontal="right" vertical="center"/>
    </xf>
    <xf numFmtId="167" fontId="25" fillId="17" borderId="62" xfId="2" applyNumberFormat="1" applyFont="1" applyFill="1" applyBorder="1" applyAlignment="1">
      <alignment horizontal="right" vertical="center" wrapText="1"/>
    </xf>
    <xf numFmtId="0" fontId="25" fillId="17" borderId="62" xfId="0" applyFont="1" applyFill="1" applyBorder="1" applyAlignment="1">
      <alignment vertical="center"/>
    </xf>
    <xf numFmtId="0" fontId="25" fillId="17" borderId="3" xfId="0" applyFont="1" applyFill="1" applyBorder="1" applyAlignment="1">
      <alignment horizontal="left" vertical="center"/>
    </xf>
    <xf numFmtId="0" fontId="26" fillId="17" borderId="62" xfId="2" applyFont="1" applyFill="1" applyBorder="1" applyAlignment="1">
      <alignment vertical="center" wrapText="1"/>
    </xf>
    <xf numFmtId="0" fontId="26" fillId="17" borderId="3" xfId="0" applyFont="1" applyFill="1" applyBorder="1" applyAlignment="1">
      <alignment horizontal="left" vertical="center"/>
    </xf>
    <xf numFmtId="49" fontId="26" fillId="0" borderId="57" xfId="2" applyNumberFormat="1" applyFont="1" applyFill="1" applyBorder="1" applyAlignment="1">
      <alignment horizontal="center" vertical="center" wrapText="1"/>
    </xf>
    <xf numFmtId="49" fontId="26" fillId="0" borderId="58" xfId="2" applyNumberFormat="1" applyFont="1" applyFill="1" applyBorder="1" applyAlignment="1">
      <alignment vertical="center" wrapText="1"/>
    </xf>
    <xf numFmtId="49" fontId="26" fillId="0" borderId="58" xfId="2" applyNumberFormat="1" applyFont="1" applyFill="1" applyBorder="1" applyAlignment="1">
      <alignment horizontal="left" vertical="center" wrapText="1"/>
    </xf>
    <xf numFmtId="49" fontId="26" fillId="0" borderId="58" xfId="2" applyNumberFormat="1" applyFont="1" applyFill="1" applyBorder="1" applyAlignment="1">
      <alignment horizontal="center" vertical="center" wrapText="1"/>
    </xf>
    <xf numFmtId="15" fontId="26" fillId="0" borderId="58" xfId="2" applyNumberFormat="1" applyFont="1" applyFill="1" applyBorder="1" applyAlignment="1">
      <alignment horizontal="center" vertical="center" wrapText="1"/>
    </xf>
    <xf numFmtId="0" fontId="26" fillId="0" borderId="58" xfId="2" applyFont="1" applyFill="1" applyBorder="1" applyAlignment="1">
      <alignment horizontal="center" vertical="center"/>
    </xf>
    <xf numFmtId="0" fontId="26" fillId="0" borderId="50" xfId="2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0" fontId="33" fillId="17" borderId="60" xfId="0" applyFont="1" applyFill="1" applyBorder="1" applyAlignment="1">
      <alignment vertical="center"/>
    </xf>
    <xf numFmtId="0" fontId="33" fillId="17" borderId="29" xfId="0" applyFont="1" applyFill="1" applyBorder="1" applyAlignment="1">
      <alignment vertical="center"/>
    </xf>
    <xf numFmtId="0" fontId="33" fillId="17" borderId="15" xfId="0" applyFont="1" applyFill="1" applyBorder="1" applyAlignment="1">
      <alignment vertical="center"/>
    </xf>
    <xf numFmtId="0" fontId="33" fillId="17" borderId="35" xfId="0" applyFont="1" applyFill="1" applyBorder="1" applyAlignment="1">
      <alignment vertical="center"/>
    </xf>
    <xf numFmtId="0" fontId="33" fillId="17" borderId="61" xfId="0" applyFont="1" applyFill="1" applyBorder="1" applyAlignment="1">
      <alignment vertical="center"/>
    </xf>
    <xf numFmtId="0" fontId="35" fillId="17" borderId="62" xfId="0" applyFont="1" applyFill="1" applyBorder="1" applyAlignment="1">
      <alignment vertical="center"/>
    </xf>
    <xf numFmtId="0" fontId="35" fillId="17" borderId="62" xfId="0" applyFont="1" applyFill="1" applyBorder="1" applyAlignment="1">
      <alignment horizontal="center" vertical="center"/>
    </xf>
    <xf numFmtId="0" fontId="35" fillId="17" borderId="23" xfId="0" applyFont="1" applyFill="1" applyBorder="1" applyAlignment="1">
      <alignment vertical="center"/>
    </xf>
    <xf numFmtId="0" fontId="35" fillId="17" borderId="23" xfId="0" applyFont="1" applyFill="1" applyBorder="1" applyAlignment="1">
      <alignment horizontal="center" vertical="center"/>
    </xf>
    <xf numFmtId="0" fontId="33" fillId="17" borderId="86" xfId="0" applyFont="1" applyFill="1" applyBorder="1" applyAlignment="1">
      <alignment vertical="center"/>
    </xf>
    <xf numFmtId="0" fontId="35" fillId="17" borderId="27" xfId="0" applyFont="1" applyFill="1" applyBorder="1" applyAlignment="1">
      <alignment vertical="center"/>
    </xf>
    <xf numFmtId="0" fontId="35" fillId="17" borderId="27" xfId="0" applyFont="1" applyFill="1" applyBorder="1" applyAlignment="1">
      <alignment horizontal="center" vertical="center"/>
    </xf>
    <xf numFmtId="0" fontId="35" fillId="17" borderId="62" xfId="0" applyFont="1" applyFill="1" applyBorder="1" applyAlignment="1">
      <alignment horizontal="left" vertical="center"/>
    </xf>
    <xf numFmtId="0" fontId="33" fillId="17" borderId="21" xfId="0" applyFont="1" applyFill="1" applyBorder="1" applyAlignment="1">
      <alignment vertical="center"/>
    </xf>
    <xf numFmtId="0" fontId="35" fillId="17" borderId="8" xfId="0" applyFont="1" applyFill="1" applyBorder="1" applyAlignment="1">
      <alignment horizontal="left" vertical="center"/>
    </xf>
    <xf numFmtId="0" fontId="33" fillId="17" borderId="33" xfId="0" applyFont="1" applyFill="1" applyBorder="1" applyAlignment="1">
      <alignment vertical="center"/>
    </xf>
    <xf numFmtId="0" fontId="35" fillId="17" borderId="69" xfId="0" applyFont="1" applyFill="1" applyBorder="1" applyAlignment="1">
      <alignment horizontal="left" vertical="center"/>
    </xf>
    <xf numFmtId="0" fontId="33" fillId="17" borderId="57" xfId="0" applyFont="1" applyFill="1" applyBorder="1" applyAlignment="1">
      <alignment vertical="center"/>
    </xf>
    <xf numFmtId="0" fontId="35" fillId="17" borderId="58" xfId="0" applyFont="1" applyFill="1" applyBorder="1" applyAlignment="1">
      <alignment vertical="center"/>
    </xf>
    <xf numFmtId="0" fontId="31" fillId="17" borderId="10" xfId="0" applyFont="1" applyFill="1" applyBorder="1" applyAlignment="1">
      <alignment horizontal="center" vertical="center"/>
    </xf>
    <xf numFmtId="0" fontId="31" fillId="17" borderId="14" xfId="0" applyFont="1" applyFill="1" applyBorder="1" applyAlignment="1">
      <alignment horizontal="center" vertical="center"/>
    </xf>
    <xf numFmtId="0" fontId="31" fillId="17" borderId="14" xfId="0" applyFont="1" applyFill="1" applyBorder="1" applyAlignment="1">
      <alignment vertical="center"/>
    </xf>
    <xf numFmtId="0" fontId="31" fillId="17" borderId="26" xfId="0" applyFont="1" applyFill="1" applyBorder="1" applyAlignment="1">
      <alignment vertical="center"/>
    </xf>
    <xf numFmtId="0" fontId="31" fillId="17" borderId="43" xfId="0" applyFont="1" applyFill="1" applyBorder="1" applyAlignment="1">
      <alignment horizontal="center" vertical="center"/>
    </xf>
    <xf numFmtId="0" fontId="31" fillId="17" borderId="10" xfId="0" applyFont="1" applyFill="1" applyBorder="1" applyAlignment="1">
      <alignment horizontal="center" vertical="center"/>
    </xf>
    <xf numFmtId="0" fontId="31" fillId="17" borderId="36" xfId="0" applyFont="1" applyFill="1" applyBorder="1" applyAlignment="1">
      <alignment horizontal="center" vertical="center"/>
    </xf>
    <xf numFmtId="0" fontId="31" fillId="17" borderId="19" xfId="0" applyFont="1" applyFill="1" applyBorder="1" applyAlignment="1">
      <alignment horizontal="center" vertical="center"/>
    </xf>
    <xf numFmtId="0" fontId="31" fillId="17" borderId="19" xfId="0" applyFont="1" applyFill="1" applyBorder="1" applyAlignment="1">
      <alignment vertical="center"/>
    </xf>
    <xf numFmtId="0" fontId="31" fillId="17" borderId="0" xfId="0" applyFont="1" applyFill="1" applyBorder="1" applyAlignment="1">
      <alignment vertical="center"/>
    </xf>
    <xf numFmtId="0" fontId="31" fillId="17" borderId="68" xfId="0" applyFont="1" applyFill="1" applyBorder="1" applyAlignment="1">
      <alignment horizontal="center" vertical="center"/>
    </xf>
    <xf numFmtId="0" fontId="31" fillId="17" borderId="36" xfId="0" applyFont="1" applyFill="1" applyBorder="1" applyAlignment="1">
      <alignment horizontal="center" vertical="center"/>
    </xf>
    <xf numFmtId="0" fontId="31" fillId="17" borderId="72" xfId="0" applyFont="1" applyFill="1" applyBorder="1" applyAlignment="1">
      <alignment horizontal="center" vertical="center"/>
    </xf>
    <xf numFmtId="0" fontId="31" fillId="17" borderId="77" xfId="0" applyFont="1" applyFill="1" applyBorder="1" applyAlignment="1">
      <alignment horizontal="center" vertical="center"/>
    </xf>
    <xf numFmtId="0" fontId="31" fillId="17" borderId="83" xfId="0" applyFont="1" applyFill="1" applyBorder="1" applyAlignment="1">
      <alignment horizontal="center" vertical="center"/>
    </xf>
    <xf numFmtId="0" fontId="31" fillId="17" borderId="73" xfId="0" applyFont="1" applyFill="1" applyBorder="1" applyAlignment="1">
      <alignment horizontal="center" vertical="center"/>
    </xf>
    <xf numFmtId="0" fontId="31" fillId="17" borderId="71" xfId="0" applyFont="1" applyFill="1" applyBorder="1" applyAlignment="1">
      <alignment horizontal="center" vertical="center"/>
    </xf>
    <xf numFmtId="0" fontId="31" fillId="17" borderId="77" xfId="0" applyFont="1" applyFill="1" applyBorder="1" applyAlignment="1">
      <alignment horizontal="center" vertical="center"/>
    </xf>
    <xf numFmtId="0" fontId="31" fillId="17" borderId="72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left" vertical="center" wrapText="1"/>
    </xf>
    <xf numFmtId="169" fontId="1" fillId="0" borderId="14" xfId="0" applyNumberFormat="1" applyFont="1" applyFill="1" applyBorder="1" applyAlignment="1">
      <alignment horizontal="right" vertical="center"/>
    </xf>
    <xf numFmtId="169" fontId="1" fillId="0" borderId="5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5" fontId="1" fillId="0" borderId="10" xfId="0" applyNumberFormat="1" applyFont="1" applyFill="1" applyBorder="1" applyAlignment="1">
      <alignment horizontal="center" vertical="center"/>
    </xf>
    <xf numFmtId="169" fontId="1" fillId="0" borderId="14" xfId="0" applyNumberFormat="1" applyFont="1" applyFill="1" applyBorder="1" applyAlignment="1">
      <alignment horizontal="right" vertical="center"/>
    </xf>
    <xf numFmtId="169" fontId="1" fillId="0" borderId="5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67" fontId="1" fillId="0" borderId="14" xfId="0" applyNumberFormat="1" applyFont="1" applyFill="1" applyBorder="1" applyAlignment="1">
      <alignment horizontal="right" vertical="center"/>
    </xf>
    <xf numFmtId="167" fontId="1" fillId="0" borderId="5" xfId="0" applyNumberFormat="1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36" xfId="0" applyNumberFormat="1" applyFont="1" applyFill="1" applyBorder="1" applyAlignment="1">
      <alignment horizontal="left" vertical="center" wrapText="1"/>
    </xf>
    <xf numFmtId="49" fontId="1" fillId="0" borderId="36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2" fontId="5" fillId="4" borderId="22" xfId="0" applyNumberFormat="1" applyFont="1" applyFill="1" applyBorder="1" applyAlignment="1"/>
    <xf numFmtId="2" fontId="6" fillId="0" borderId="0" xfId="0" applyNumberFormat="1" applyFont="1" applyFill="1" applyBorder="1" applyAlignment="1">
      <alignment horizontal="right"/>
    </xf>
    <xf numFmtId="2" fontId="6" fillId="0" borderId="22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15" fontId="25" fillId="0" borderId="4" xfId="0" applyNumberFormat="1" applyFont="1" applyFill="1" applyBorder="1" applyAlignment="1">
      <alignment horizontal="center" vertical="center"/>
    </xf>
    <xf numFmtId="15" fontId="25" fillId="12" borderId="63" xfId="0" applyNumberFormat="1" applyFont="1" applyFill="1" applyBorder="1" applyAlignment="1">
      <alignment horizontal="center" vertical="center"/>
    </xf>
    <xf numFmtId="15" fontId="25" fillId="0" borderId="11" xfId="0" applyNumberFormat="1" applyFont="1" applyFill="1" applyBorder="1" applyAlignment="1">
      <alignment horizontal="center" vertical="center"/>
    </xf>
    <xf numFmtId="15" fontId="25" fillId="12" borderId="9" xfId="0" applyNumberFormat="1" applyFont="1" applyFill="1" applyBorder="1" applyAlignment="1">
      <alignment horizontal="center" vertical="center"/>
    </xf>
    <xf numFmtId="15" fontId="25" fillId="12" borderId="11" xfId="0" applyNumberFormat="1" applyFont="1" applyFill="1" applyBorder="1" applyAlignment="1">
      <alignment horizontal="left" vertical="center"/>
    </xf>
    <xf numFmtId="15" fontId="25" fillId="12" borderId="14" xfId="0" applyNumberFormat="1" applyFont="1" applyFill="1" applyBorder="1" applyAlignment="1">
      <alignment horizontal="left" vertical="center"/>
    </xf>
    <xf numFmtId="15" fontId="25" fillId="12" borderId="5" xfId="0" applyNumberFormat="1" applyFont="1" applyFill="1" applyBorder="1" applyAlignment="1">
      <alignment horizontal="center" vertical="center"/>
    </xf>
    <xf numFmtId="15" fontId="25" fillId="12" borderId="11" xfId="0" applyNumberFormat="1" applyFont="1" applyFill="1" applyBorder="1" applyAlignment="1">
      <alignment horizontal="center" vertical="center"/>
    </xf>
    <xf numFmtId="15" fontId="25" fillId="17" borderId="11" xfId="0" applyNumberFormat="1" applyFont="1" applyFill="1" applyBorder="1" applyAlignment="1">
      <alignment horizontal="center" vertical="center"/>
    </xf>
    <xf numFmtId="15" fontId="25" fillId="12" borderId="14" xfId="0" applyNumberFormat="1" applyFont="1" applyFill="1" applyBorder="1" applyAlignment="1">
      <alignment vertical="center"/>
    </xf>
    <xf numFmtId="15" fontId="25" fillId="12" borderId="5" xfId="0" applyNumberFormat="1" applyFont="1" applyFill="1" applyBorder="1" applyAlignment="1">
      <alignment vertical="center"/>
    </xf>
    <xf numFmtId="15" fontId="25" fillId="12" borderId="7" xfId="0" applyNumberFormat="1" applyFont="1" applyFill="1" applyBorder="1" applyAlignment="1">
      <alignment vertical="center"/>
    </xf>
    <xf numFmtId="15" fontId="25" fillId="12" borderId="19" xfId="0" applyNumberFormat="1" applyFont="1" applyFill="1" applyBorder="1" applyAlignment="1">
      <alignment vertical="center"/>
    </xf>
    <xf numFmtId="0" fontId="25" fillId="0" borderId="36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14" fillId="0" borderId="3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15" fontId="1" fillId="0" borderId="23" xfId="0" applyNumberFormat="1" applyFont="1" applyFill="1" applyBorder="1" applyAlignment="1">
      <alignment horizontal="center" vertical="center"/>
    </xf>
    <xf numFmtId="169" fontId="1" fillId="0" borderId="23" xfId="0" applyNumberFormat="1" applyFont="1" applyFill="1" applyBorder="1" applyAlignment="1">
      <alignment horizontal="right" vertical="center"/>
    </xf>
    <xf numFmtId="167" fontId="1" fillId="0" borderId="23" xfId="0" applyNumberFormat="1" applyFont="1" applyFill="1" applyBorder="1" applyAlignment="1">
      <alignment horizontal="right" vertical="center"/>
    </xf>
    <xf numFmtId="0" fontId="25" fillId="12" borderId="12" xfId="0" applyFont="1" applyFill="1" applyBorder="1" applyAlignment="1">
      <alignment horizontal="left" vertical="center"/>
    </xf>
    <xf numFmtId="0" fontId="25" fillId="12" borderId="6" xfId="0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left" vertical="center"/>
    </xf>
    <xf numFmtId="1" fontId="21" fillId="0" borderId="9" xfId="0" applyNumberFormat="1" applyFont="1" applyFill="1" applyBorder="1" applyAlignment="1">
      <alignment horizontal="left" vertical="center" wrapText="1"/>
    </xf>
    <xf numFmtId="0" fontId="25" fillId="3" borderId="14" xfId="0" applyFont="1" applyFill="1" applyBorder="1" applyAlignment="1">
      <alignment horizontal="right" vertical="center"/>
    </xf>
    <xf numFmtId="0" fontId="25" fillId="3" borderId="11" xfId="0" applyFont="1" applyFill="1" applyBorder="1" applyAlignment="1">
      <alignment horizontal="right" vertical="center"/>
    </xf>
    <xf numFmtId="0" fontId="25" fillId="3" borderId="23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15" fontId="25" fillId="0" borderId="11" xfId="2" applyNumberFormat="1" applyFont="1" applyFill="1" applyBorder="1" applyAlignment="1">
      <alignment horizontal="center" vertical="center" wrapText="1"/>
    </xf>
    <xf numFmtId="0" fontId="25" fillId="0" borderId="11" xfId="2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right" vertical="center" wrapText="1"/>
    </xf>
    <xf numFmtId="0" fontId="25" fillId="0" borderId="11" xfId="2" applyFont="1" applyFill="1" applyBorder="1" applyAlignment="1">
      <alignment horizontal="right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23" xfId="0" applyFont="1" applyFill="1" applyBorder="1" applyAlignment="1">
      <alignment horizontal="left" vertical="center" wrapText="1"/>
    </xf>
    <xf numFmtId="15" fontId="25" fillId="0" borderId="23" xfId="2" applyNumberFormat="1" applyFont="1" applyFill="1" applyBorder="1" applyAlignment="1">
      <alignment horizontal="center" vertical="center" wrapText="1"/>
    </xf>
    <xf numFmtId="0" fontId="25" fillId="0" borderId="23" xfId="2" applyFont="1" applyFill="1" applyBorder="1" applyAlignment="1">
      <alignment vertical="center" wrapText="1"/>
    </xf>
    <xf numFmtId="0" fontId="25" fillId="0" borderId="23" xfId="2" applyFont="1" applyFill="1" applyBorder="1" applyAlignment="1">
      <alignment horizontal="right" vertical="center" wrapText="1"/>
    </xf>
    <xf numFmtId="0" fontId="25" fillId="0" borderId="7" xfId="0" applyFont="1" applyFill="1" applyBorder="1" applyAlignment="1">
      <alignment horizontal="right" vertical="center"/>
    </xf>
    <xf numFmtId="0" fontId="27" fillId="0" borderId="32" xfId="0" applyFont="1" applyFill="1" applyBorder="1" applyAlignment="1">
      <alignment horizontal="left"/>
    </xf>
    <xf numFmtId="0" fontId="25" fillId="0" borderId="22" xfId="0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5" fillId="0" borderId="64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>
      <alignment horizontal="left" vertical="center" wrapText="1"/>
    </xf>
    <xf numFmtId="0" fontId="25" fillId="3" borderId="63" xfId="0" applyFont="1" applyFill="1" applyBorder="1" applyAlignment="1">
      <alignment vertical="center"/>
    </xf>
    <xf numFmtId="0" fontId="25" fillId="3" borderId="63" xfId="0" applyFont="1" applyFill="1" applyBorder="1" applyAlignment="1">
      <alignment horizontal="left" vertical="center"/>
    </xf>
    <xf numFmtId="0" fontId="25" fillId="3" borderId="16" xfId="0" applyFont="1" applyFill="1" applyBorder="1" applyAlignment="1">
      <alignment horizontal="right" vertical="center"/>
    </xf>
    <xf numFmtId="0" fontId="25" fillId="0" borderId="23" xfId="2" applyFont="1" applyFill="1" applyBorder="1" applyAlignment="1">
      <alignment vertical="center"/>
    </xf>
    <xf numFmtId="15" fontId="25" fillId="12" borderId="9" xfId="0" applyNumberFormat="1" applyFont="1" applyFill="1" applyBorder="1" applyAlignment="1">
      <alignment vertical="center"/>
    </xf>
    <xf numFmtId="167" fontId="25" fillId="12" borderId="7" xfId="0" applyNumberFormat="1" applyFont="1" applyFill="1" applyBorder="1" applyAlignment="1">
      <alignment vertical="center"/>
    </xf>
    <xf numFmtId="15" fontId="25" fillId="12" borderId="8" xfId="0" applyNumberFormat="1" applyFont="1" applyFill="1" applyBorder="1" applyAlignment="1">
      <alignment vertical="center"/>
    </xf>
    <xf numFmtId="1" fontId="31" fillId="0" borderId="4" xfId="0" applyNumberFormat="1" applyFont="1" applyFill="1" applyBorder="1" applyAlignment="1">
      <alignment horizontal="left" vertical="center"/>
    </xf>
    <xf numFmtId="15" fontId="25" fillId="0" borderId="8" xfId="2" applyNumberFormat="1" applyFont="1" applyFill="1" applyBorder="1" applyAlignment="1">
      <alignment horizontal="center" vertical="center"/>
    </xf>
    <xf numFmtId="0" fontId="25" fillId="19" borderId="7" xfId="2" applyFont="1" applyFill="1" applyBorder="1" applyAlignment="1">
      <alignment horizontal="right" vertical="center" wrapText="1"/>
    </xf>
    <xf numFmtId="0" fontId="25" fillId="19" borderId="12" xfId="0" applyFont="1" applyFill="1" applyBorder="1" applyAlignment="1">
      <alignment horizontal="left"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167" fontId="25" fillId="18" borderId="7" xfId="0" applyNumberFormat="1" applyFont="1" applyFill="1" applyBorder="1" applyAlignment="1">
      <alignment vertical="center"/>
    </xf>
    <xf numFmtId="167" fontId="25" fillId="18" borderId="23" xfId="0" applyNumberFormat="1" applyFont="1" applyFill="1" applyBorder="1" applyAlignment="1">
      <alignment vertical="center"/>
    </xf>
    <xf numFmtId="167" fontId="25" fillId="18" borderId="8" xfId="0" applyNumberFormat="1" applyFont="1" applyFill="1" applyBorder="1" applyAlignment="1">
      <alignment vertical="center"/>
    </xf>
    <xf numFmtId="0" fontId="25" fillId="12" borderId="9" xfId="0" applyFont="1" applyFill="1" applyBorder="1" applyAlignment="1">
      <alignment vertical="center" wrapText="1"/>
    </xf>
    <xf numFmtId="167" fontId="25" fillId="18" borderId="5" xfId="0" applyNumberFormat="1" applyFont="1" applyFill="1" applyBorder="1" applyAlignment="1">
      <alignment vertical="center"/>
    </xf>
    <xf numFmtId="167" fontId="25" fillId="18" borderId="11" xfId="0" applyNumberFormat="1" applyFont="1" applyFill="1" applyBorder="1" applyAlignment="1">
      <alignment vertical="center"/>
    </xf>
    <xf numFmtId="167" fontId="25" fillId="18" borderId="6" xfId="0" applyNumberFormat="1" applyFont="1" applyFill="1" applyBorder="1" applyAlignment="1">
      <alignment vertical="center"/>
    </xf>
    <xf numFmtId="15" fontId="8" fillId="4" borderId="50" xfId="0" applyNumberFormat="1" applyFont="1" applyFill="1" applyBorder="1" applyAlignment="1">
      <alignment horizontal="right"/>
    </xf>
    <xf numFmtId="167" fontId="25" fillId="12" borderId="7" xfId="0" applyNumberFormat="1" applyFont="1" applyFill="1" applyBorder="1" applyAlignment="1">
      <alignment horizontal="right" vertical="center"/>
    </xf>
    <xf numFmtId="3" fontId="1" fillId="12" borderId="7" xfId="0" applyNumberFormat="1" applyFont="1" applyFill="1" applyBorder="1" applyAlignment="1">
      <alignment horizontal="right" vertical="center"/>
    </xf>
    <xf numFmtId="0" fontId="1" fillId="12" borderId="8" xfId="0" applyFont="1" applyFill="1" applyBorder="1" applyAlignment="1">
      <alignment horizontal="left" vertical="center"/>
    </xf>
    <xf numFmtId="1" fontId="1" fillId="12" borderId="10" xfId="0" applyNumberFormat="1" applyFont="1" applyFill="1" applyBorder="1" applyAlignment="1">
      <alignment horizontal="left" vertical="center"/>
    </xf>
    <xf numFmtId="1" fontId="1" fillId="12" borderId="4" xfId="0" applyNumberFormat="1" applyFont="1" applyFill="1" applyBorder="1" applyAlignment="1">
      <alignment horizontal="left" vertical="center"/>
    </xf>
    <xf numFmtId="49" fontId="1" fillId="12" borderId="10" xfId="0" applyNumberFormat="1" applyFont="1" applyFill="1" applyBorder="1" applyAlignment="1">
      <alignment horizontal="center" vertical="center"/>
    </xf>
    <xf numFmtId="49" fontId="1" fillId="12" borderId="4" xfId="0" applyNumberFormat="1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left" vertical="center" wrapText="1"/>
    </xf>
    <xf numFmtId="15" fontId="25" fillId="12" borderId="23" xfId="0" applyNumberFormat="1" applyFont="1" applyFill="1" applyBorder="1" applyAlignment="1">
      <alignment horizontal="center" vertical="center"/>
    </xf>
    <xf numFmtId="1" fontId="1" fillId="12" borderId="14" xfId="0" applyNumberFormat="1" applyFont="1" applyFill="1" applyBorder="1" applyAlignment="1">
      <alignment horizontal="left" vertical="center"/>
    </xf>
    <xf numFmtId="3" fontId="1" fillId="12" borderId="7" xfId="0" applyNumberFormat="1" applyFont="1" applyFill="1" applyBorder="1" applyAlignment="1">
      <alignment horizontal="right" vertical="center" wrapText="1"/>
    </xf>
    <xf numFmtId="3" fontId="1" fillId="12" borderId="8" xfId="0" applyNumberFormat="1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/>
    </xf>
    <xf numFmtId="15" fontId="1" fillId="12" borderId="9" xfId="0" applyNumberFormat="1" applyFont="1" applyFill="1" applyBorder="1" applyAlignment="1">
      <alignment horizontal="center" vertical="center"/>
    </xf>
    <xf numFmtId="169" fontId="1" fillId="12" borderId="7" xfId="0" applyNumberFormat="1" applyFont="1" applyFill="1" applyBorder="1" applyAlignment="1">
      <alignment horizontal="right" vertical="center"/>
    </xf>
    <xf numFmtId="167" fontId="1" fillId="12" borderId="7" xfId="0" applyNumberFormat="1" applyFont="1" applyFill="1" applyBorder="1" applyAlignment="1">
      <alignment horizontal="right" vertical="center"/>
    </xf>
    <xf numFmtId="17" fontId="1" fillId="12" borderId="7" xfId="0" applyNumberFormat="1" applyFont="1" applyFill="1" applyBorder="1" applyAlignment="1">
      <alignment horizontal="right" vertical="center"/>
    </xf>
    <xf numFmtId="1" fontId="1" fillId="12" borderId="5" xfId="0" applyNumberFormat="1" applyFont="1" applyFill="1" applyBorder="1" applyAlignment="1">
      <alignment horizontal="left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left" vertical="center"/>
    </xf>
    <xf numFmtId="0" fontId="1" fillId="12" borderId="6" xfId="0" applyFont="1" applyFill="1" applyBorder="1" applyAlignment="1">
      <alignment horizontal="left" vertical="center"/>
    </xf>
    <xf numFmtId="169" fontId="1" fillId="12" borderId="14" xfId="0" applyNumberFormat="1" applyFont="1" applyFill="1" applyBorder="1" applyAlignment="1">
      <alignment horizontal="right" vertical="center"/>
    </xf>
    <xf numFmtId="0" fontId="25" fillId="12" borderId="7" xfId="2" applyFont="1" applyFill="1" applyBorder="1" applyAlignment="1">
      <alignment horizontal="center" vertical="center" wrapText="1"/>
    </xf>
    <xf numFmtId="0" fontId="25" fillId="12" borderId="26" xfId="0" applyFont="1" applyFill="1" applyBorder="1" applyAlignment="1">
      <alignment vertical="center"/>
    </xf>
    <xf numFmtId="0" fontId="25" fillId="12" borderId="26" xfId="0" applyFont="1" applyFill="1" applyBorder="1" applyAlignment="1">
      <alignment horizontal="left" vertical="center"/>
    </xf>
    <xf numFmtId="0" fontId="25" fillId="12" borderId="11" xfId="0" applyFont="1" applyFill="1" applyBorder="1" applyAlignment="1">
      <alignment vertical="center"/>
    </xf>
    <xf numFmtId="0" fontId="25" fillId="12" borderId="11" xfId="0" applyFont="1" applyFill="1" applyBorder="1" applyAlignment="1">
      <alignment horizontal="left" vertical="center"/>
    </xf>
    <xf numFmtId="15" fontId="25" fillId="12" borderId="7" xfId="0" applyNumberFormat="1" applyFont="1" applyFill="1" applyBorder="1" applyAlignment="1">
      <alignment horizontal="center" vertical="center"/>
    </xf>
    <xf numFmtId="2" fontId="25" fillId="12" borderId="7" xfId="0" applyNumberFormat="1" applyFont="1" applyFill="1" applyBorder="1" applyAlignment="1">
      <alignment horizontal="right" vertical="center"/>
    </xf>
    <xf numFmtId="15" fontId="25" fillId="12" borderId="8" xfId="0" applyNumberFormat="1" applyFont="1" applyFill="1" applyBorder="1" applyAlignment="1">
      <alignment horizontal="left" vertical="center"/>
    </xf>
    <xf numFmtId="15" fontId="25" fillId="12" borderId="8" xfId="0" applyNumberFormat="1" applyFont="1" applyFill="1" applyBorder="1" applyAlignment="1">
      <alignment horizontal="center" vertical="center"/>
    </xf>
    <xf numFmtId="15" fontId="25" fillId="12" borderId="23" xfId="0" applyNumberFormat="1" applyFont="1" applyFill="1" applyBorder="1" applyAlignment="1">
      <alignment vertical="center"/>
    </xf>
    <xf numFmtId="1" fontId="25" fillId="12" borderId="23" xfId="0" applyNumberFormat="1" applyFont="1" applyFill="1" applyBorder="1" applyAlignment="1">
      <alignment vertical="center"/>
    </xf>
    <xf numFmtId="15" fontId="26" fillId="12" borderId="24" xfId="0" applyNumberFormat="1" applyFont="1" applyFill="1" applyBorder="1" applyAlignment="1">
      <alignment vertical="center"/>
    </xf>
    <xf numFmtId="17" fontId="25" fillId="12" borderId="15" xfId="2" applyNumberFormat="1" applyFont="1" applyFill="1" applyBorder="1" applyAlignment="1">
      <alignment horizontal="center" vertical="center" wrapText="1"/>
    </xf>
    <xf numFmtId="0" fontId="25" fillId="13" borderId="8" xfId="0" applyFont="1" applyFill="1" applyBorder="1" applyAlignment="1">
      <alignment horizontal="left" vertical="center"/>
    </xf>
    <xf numFmtId="3" fontId="26" fillId="12" borderId="23" xfId="2" applyNumberFormat="1" applyFont="1" applyFill="1" applyBorder="1" applyAlignment="1">
      <alignment horizontal="right" vertical="center" wrapText="1"/>
    </xf>
    <xf numFmtId="49" fontId="1" fillId="12" borderId="20" xfId="0" applyNumberFormat="1" applyFont="1" applyFill="1" applyBorder="1" applyAlignment="1">
      <alignment horizontal="center" vertical="center"/>
    </xf>
    <xf numFmtId="3" fontId="1" fillId="12" borderId="14" xfId="0" applyNumberFormat="1" applyFont="1" applyFill="1" applyBorder="1" applyAlignment="1">
      <alignment horizontal="right" vertical="center" wrapText="1"/>
    </xf>
    <xf numFmtId="0" fontId="35" fillId="12" borderId="0" xfId="0" applyFont="1" applyFill="1" applyAlignment="1">
      <alignment vertical="center"/>
    </xf>
    <xf numFmtId="3" fontId="1" fillId="12" borderId="5" xfId="0" applyNumberFormat="1" applyFont="1" applyFill="1" applyBorder="1" applyAlignment="1">
      <alignment horizontal="right" vertical="center" wrapText="1"/>
    </xf>
    <xf numFmtId="167" fontId="25" fillId="12" borderId="5" xfId="0" applyNumberFormat="1" applyFont="1" applyFill="1" applyBorder="1" applyAlignment="1">
      <alignment horizontal="right" vertical="center"/>
    </xf>
    <xf numFmtId="167" fontId="6" fillId="0" borderId="32" xfId="0" applyNumberFormat="1" applyFont="1" applyFill="1" applyBorder="1" applyAlignment="1"/>
    <xf numFmtId="167" fontId="6" fillId="9" borderId="30" xfId="0" applyNumberFormat="1" applyFont="1" applyFill="1" applyBorder="1" applyAlignment="1">
      <alignment horizontal="right"/>
    </xf>
    <xf numFmtId="167" fontId="6" fillId="9" borderId="11" xfId="0" applyNumberFormat="1" applyFont="1" applyFill="1" applyBorder="1" applyAlignment="1">
      <alignment horizontal="right"/>
    </xf>
    <xf numFmtId="0" fontId="25" fillId="12" borderId="5" xfId="0" applyFont="1" applyFill="1" applyBorder="1" applyAlignment="1">
      <alignment horizontal="left" vertical="center" wrapText="1"/>
    </xf>
    <xf numFmtId="0" fontId="25" fillId="12" borderId="16" xfId="0" applyFont="1" applyFill="1" applyBorder="1" applyAlignment="1">
      <alignment horizontal="left" vertical="center" wrapText="1"/>
    </xf>
    <xf numFmtId="0" fontId="25" fillId="12" borderId="16" xfId="0" applyFont="1" applyFill="1" applyBorder="1" applyAlignment="1">
      <alignment vertical="center"/>
    </xf>
    <xf numFmtId="169" fontId="26" fillId="12" borderId="14" xfId="2" applyNumberFormat="1" applyFont="1" applyFill="1" applyBorder="1" applyAlignment="1">
      <alignment horizontal="right" vertical="center" wrapText="1"/>
    </xf>
    <xf numFmtId="3" fontId="26" fillId="12" borderId="5" xfId="2" applyNumberFormat="1" applyFont="1" applyFill="1" applyBorder="1" applyAlignment="1">
      <alignment horizontal="right" vertical="center" wrapText="1"/>
    </xf>
    <xf numFmtId="0" fontId="25" fillId="12" borderId="0" xfId="0" applyFont="1" applyFill="1" applyBorder="1" applyAlignment="1">
      <alignment horizontal="left" vertical="center"/>
    </xf>
    <xf numFmtId="0" fontId="25" fillId="12" borderId="19" xfId="0" applyFont="1" applyFill="1" applyBorder="1" applyAlignment="1">
      <alignment horizontal="left" vertical="center" wrapText="1"/>
    </xf>
    <xf numFmtId="167" fontId="25" fillId="18" borderId="9" xfId="0" applyNumberFormat="1" applyFont="1" applyFill="1" applyBorder="1" applyAlignment="1">
      <alignment vertical="center"/>
    </xf>
    <xf numFmtId="167" fontId="25" fillId="12" borderId="7" xfId="2" applyNumberFormat="1" applyFont="1" applyFill="1" applyBorder="1" applyAlignment="1">
      <alignment horizontal="right" vertical="center" wrapText="1"/>
    </xf>
    <xf numFmtId="15" fontId="25" fillId="12" borderId="9" xfId="0" applyNumberFormat="1" applyFont="1" applyFill="1" applyBorder="1" applyAlignment="1">
      <alignment horizontal="left" vertical="center"/>
    </xf>
    <xf numFmtId="0" fontId="39" fillId="12" borderId="14" xfId="4" applyFont="1" applyFill="1" applyBorder="1" applyAlignment="1">
      <alignment vertical="center" wrapText="1"/>
    </xf>
    <xf numFmtId="179" fontId="39" fillId="12" borderId="44" xfId="4" applyNumberFormat="1" applyFont="1" applyFill="1" applyBorder="1" applyAlignment="1">
      <alignment horizontal="center" vertical="center"/>
    </xf>
    <xf numFmtId="15" fontId="39" fillId="12" borderId="42" xfId="3" applyNumberFormat="1" applyFont="1" applyFill="1" applyBorder="1" applyAlignment="1">
      <alignment horizontal="center" vertical="center"/>
    </xf>
    <xf numFmtId="178" fontId="39" fillId="12" borderId="26" xfId="3" applyNumberFormat="1" applyFont="1" applyFill="1" applyBorder="1" applyAlignment="1">
      <alignment horizontal="center" vertical="center"/>
    </xf>
    <xf numFmtId="0" fontId="39" fillId="12" borderId="43" xfId="3" applyFont="1" applyFill="1" applyBorder="1" applyAlignment="1">
      <alignment horizontal="center" vertical="center" wrapText="1"/>
    </xf>
    <xf numFmtId="15" fontId="39" fillId="12" borderId="45" xfId="3" applyNumberFormat="1" applyFont="1" applyFill="1" applyBorder="1" applyAlignment="1">
      <alignment horizontal="center" vertical="center"/>
    </xf>
    <xf numFmtId="180" fontId="39" fillId="12" borderId="43" xfId="3" applyNumberFormat="1" applyFont="1" applyFill="1" applyBorder="1" applyAlignment="1">
      <alignment horizontal="center" vertical="center"/>
    </xf>
    <xf numFmtId="0" fontId="39" fillId="12" borderId="0" xfId="3" applyFont="1" applyFill="1" applyBorder="1" applyAlignment="1">
      <alignment vertical="center"/>
    </xf>
    <xf numFmtId="0" fontId="39" fillId="12" borderId="7" xfId="4" applyFont="1" applyFill="1" applyBorder="1" applyAlignment="1">
      <alignment vertical="center" wrapText="1"/>
    </xf>
    <xf numFmtId="179" fontId="39" fillId="12" borderId="41" xfId="4" applyNumberFormat="1" applyFont="1" applyFill="1" applyBorder="1" applyAlignment="1">
      <alignment horizontal="center" vertical="center"/>
    </xf>
    <xf numFmtId="15" fontId="39" fillId="12" borderId="15" xfId="3" applyNumberFormat="1" applyFont="1" applyFill="1" applyBorder="1" applyAlignment="1">
      <alignment horizontal="left" vertical="center"/>
    </xf>
    <xf numFmtId="178" fontId="39" fillId="12" borderId="7" xfId="3" applyNumberFormat="1" applyFont="1" applyFill="1" applyBorder="1" applyAlignment="1">
      <alignment horizontal="center" vertical="center"/>
    </xf>
    <xf numFmtId="0" fontId="39" fillId="12" borderId="28" xfId="3" applyFont="1" applyFill="1" applyBorder="1" applyAlignment="1">
      <alignment horizontal="center" vertical="center" wrapText="1"/>
    </xf>
    <xf numFmtId="15" fontId="39" fillId="12" borderId="21" xfId="3" applyNumberFormat="1" applyFont="1" applyFill="1" applyBorder="1" applyAlignment="1">
      <alignment horizontal="center" vertical="center"/>
    </xf>
    <xf numFmtId="180" fontId="39" fillId="12" borderId="28" xfId="3" applyNumberFormat="1" applyFont="1" applyFill="1" applyBorder="1" applyAlignment="1">
      <alignment horizontal="center" vertical="center"/>
    </xf>
    <xf numFmtId="170" fontId="39" fillId="12" borderId="41" xfId="4" applyNumberFormat="1" applyFont="1" applyFill="1" applyBorder="1" applyAlignment="1">
      <alignment horizontal="center" vertical="center"/>
    </xf>
    <xf numFmtId="170" fontId="39" fillId="12" borderId="28" xfId="3" applyNumberFormat="1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left" vertical="center"/>
    </xf>
    <xf numFmtId="15" fontId="25" fillId="12" borderId="63" xfId="0" applyNumberFormat="1" applyFont="1" applyFill="1" applyBorder="1" applyAlignment="1">
      <alignment horizontal="center" vertical="center"/>
    </xf>
    <xf numFmtId="0" fontId="25" fillId="12" borderId="63" xfId="2" applyFont="1" applyFill="1" applyBorder="1" applyAlignment="1">
      <alignment horizontal="center" vertical="center" wrapText="1"/>
    </xf>
    <xf numFmtId="15" fontId="25" fillId="13" borderId="35" xfId="2" applyNumberFormat="1" applyFont="1" applyFill="1" applyBorder="1" applyAlignment="1">
      <alignment horizontal="center" vertical="center" wrapText="1"/>
    </xf>
    <xf numFmtId="167" fontId="25" fillId="12" borderId="16" xfId="2" applyNumberFormat="1" applyFont="1" applyFill="1" applyBorder="1" applyAlignment="1">
      <alignment horizontal="right" vertical="center" wrapText="1"/>
    </xf>
    <xf numFmtId="169" fontId="26" fillId="12" borderId="63" xfId="2" applyNumberFormat="1" applyFont="1" applyFill="1" applyBorder="1" applyAlignment="1">
      <alignment vertical="center" wrapText="1"/>
    </xf>
    <xf numFmtId="0" fontId="25" fillId="12" borderId="18" xfId="0" applyFont="1" applyFill="1" applyBorder="1" applyAlignment="1">
      <alignment horizontal="left" vertical="center"/>
    </xf>
    <xf numFmtId="15" fontId="25" fillId="13" borderId="86" xfId="2" applyNumberFormat="1" applyFont="1" applyFill="1" applyBorder="1" applyAlignment="1">
      <alignment horizontal="center" vertical="center" wrapText="1"/>
    </xf>
    <xf numFmtId="167" fontId="25" fillId="12" borderId="56" xfId="2" applyNumberFormat="1" applyFont="1" applyFill="1" applyBorder="1" applyAlignment="1">
      <alignment horizontal="right" vertical="center" wrapText="1"/>
    </xf>
    <xf numFmtId="169" fontId="26" fillId="12" borderId="27" xfId="2" applyNumberFormat="1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horizontal="left" vertical="center" wrapText="1"/>
    </xf>
    <xf numFmtId="170" fontId="32" fillId="21" borderId="7" xfId="2" applyNumberFormat="1" applyFont="1" applyFill="1" applyBorder="1" applyAlignment="1">
      <alignment horizontal="right" vertical="center" wrapText="1"/>
    </xf>
    <xf numFmtId="15" fontId="39" fillId="12" borderId="15" xfId="3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69" fontId="1" fillId="0" borderId="14" xfId="0" applyNumberFormat="1" applyFont="1" applyFill="1" applyBorder="1" applyAlignment="1">
      <alignment horizontal="right" vertical="center"/>
    </xf>
    <xf numFmtId="49" fontId="1" fillId="0" borderId="20" xfId="0" applyNumberFormat="1" applyFont="1" applyFill="1" applyBorder="1" applyAlignment="1">
      <alignment horizontal="center" vertical="center"/>
    </xf>
    <xf numFmtId="15" fontId="1" fillId="0" borderId="36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right" vertical="center" wrapText="1"/>
    </xf>
    <xf numFmtId="166" fontId="1" fillId="0" borderId="15" xfId="0" applyNumberFormat="1" applyFont="1" applyFill="1" applyBorder="1" applyAlignment="1">
      <alignment horizontal="right" vertical="center" wrapText="1"/>
    </xf>
    <xf numFmtId="166" fontId="31" fillId="0" borderId="21" xfId="0" applyNumberFormat="1" applyFont="1" applyFill="1" applyBorder="1" applyAlignment="1">
      <alignment horizontal="right" vertical="center" wrapText="1"/>
    </xf>
    <xf numFmtId="166" fontId="31" fillId="0" borderId="28" xfId="0" applyNumberFormat="1" applyFont="1" applyFill="1" applyBorder="1" applyAlignment="1">
      <alignment horizontal="right" vertical="center" wrapText="1"/>
    </xf>
    <xf numFmtId="179" fontId="1" fillId="0" borderId="7" xfId="0" applyNumberFormat="1" applyFont="1" applyFill="1" applyBorder="1" applyAlignment="1">
      <alignment horizontal="center" vertical="center" wrapText="1"/>
    </xf>
    <xf numFmtId="15" fontId="31" fillId="0" borderId="21" xfId="0" applyNumberFormat="1" applyFont="1" applyFill="1" applyBorder="1" applyAlignment="1">
      <alignment horizontal="right" vertical="center" wrapText="1"/>
    </xf>
    <xf numFmtId="180" fontId="31" fillId="0" borderId="28" xfId="0" applyNumberFormat="1" applyFont="1" applyFill="1" applyBorder="1" applyAlignment="1">
      <alignment horizontal="right" vertical="center" wrapText="1"/>
    </xf>
    <xf numFmtId="169" fontId="14" fillId="0" borderId="14" xfId="0" applyNumberFormat="1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left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169" fontId="14" fillId="0" borderId="19" xfId="0" applyNumberFormat="1" applyFont="1" applyFill="1" applyBorder="1" applyAlignment="1">
      <alignment horizontal="right" vertical="center" wrapText="1"/>
    </xf>
    <xf numFmtId="15" fontId="14" fillId="0" borderId="36" xfId="0" applyNumberFormat="1" applyFont="1" applyFill="1" applyBorder="1" applyAlignment="1">
      <alignment horizontal="center" vertical="center" wrapText="1"/>
    </xf>
    <xf numFmtId="1" fontId="14" fillId="0" borderId="36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left" vertical="center"/>
    </xf>
    <xf numFmtId="15" fontId="1" fillId="0" borderId="10" xfId="0" applyNumberFormat="1" applyFont="1" applyFill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center" vertical="center"/>
    </xf>
    <xf numFmtId="169" fontId="1" fillId="0" borderId="14" xfId="0" applyNumberFormat="1" applyFont="1" applyFill="1" applyBorder="1" applyAlignment="1">
      <alignment horizontal="right" vertical="center"/>
    </xf>
    <xf numFmtId="169" fontId="1" fillId="0" borderId="5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67" fontId="1" fillId="0" borderId="14" xfId="0" applyNumberFormat="1" applyFont="1" applyFill="1" applyBorder="1" applyAlignment="1">
      <alignment horizontal="right" vertical="center"/>
    </xf>
    <xf numFmtId="167" fontId="1" fillId="0" borderId="5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68" fillId="4" borderId="0" xfId="0" applyNumberFormat="1" applyFont="1" applyFill="1" applyBorder="1" applyAlignment="1"/>
    <xf numFmtId="2" fontId="68" fillId="4" borderId="22" xfId="0" applyNumberFormat="1" applyFont="1" applyFill="1" applyBorder="1" applyAlignment="1"/>
    <xf numFmtId="0" fontId="25" fillId="0" borderId="10" xfId="0" applyFont="1" applyFill="1" applyBorder="1" applyAlignment="1">
      <alignment horizontal="left" vertical="center" wrapText="1"/>
    </xf>
    <xf numFmtId="0" fontId="25" fillId="12" borderId="10" xfId="0" applyFont="1" applyFill="1" applyBorder="1" applyAlignment="1">
      <alignment horizontal="left" vertical="center" wrapText="1"/>
    </xf>
    <xf numFmtId="167" fontId="25" fillId="12" borderId="5" xfId="0" applyNumberFormat="1" applyFont="1" applyFill="1" applyBorder="1" applyAlignment="1">
      <alignment horizontal="right" vertical="center"/>
    </xf>
    <xf numFmtId="0" fontId="25" fillId="12" borderId="12" xfId="0" applyFont="1" applyFill="1" applyBorder="1" applyAlignment="1">
      <alignment vertical="center"/>
    </xf>
    <xf numFmtId="0" fontId="25" fillId="12" borderId="6" xfId="0" applyFont="1" applyFill="1" applyBorder="1" applyAlignment="1">
      <alignment vertical="center"/>
    </xf>
    <xf numFmtId="49" fontId="26" fillId="17" borderId="37" xfId="2" applyNumberFormat="1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vertical="center"/>
    </xf>
    <xf numFmtId="0" fontId="25" fillId="0" borderId="42" xfId="0" applyFont="1" applyFill="1" applyBorder="1" applyAlignment="1">
      <alignment horizontal="left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/>
    </xf>
    <xf numFmtId="15" fontId="25" fillId="0" borderId="5" xfId="0" applyNumberFormat="1" applyFont="1" applyFill="1" applyBorder="1" applyAlignment="1">
      <alignment horizontal="center" vertical="center"/>
    </xf>
    <xf numFmtId="169" fontId="1" fillId="0" borderId="7" xfId="0" applyNumberFormat="1" applyFont="1" applyFill="1" applyBorder="1" applyAlignment="1">
      <alignment vertical="center"/>
    </xf>
    <xf numFmtId="167" fontId="1" fillId="0" borderId="7" xfId="0" applyNumberFormat="1" applyFont="1" applyFill="1" applyBorder="1" applyAlignment="1">
      <alignment vertical="center"/>
    </xf>
    <xf numFmtId="2" fontId="25" fillId="0" borderId="10" xfId="2" applyNumberFormat="1" applyFont="1" applyFill="1" applyBorder="1" applyAlignment="1">
      <alignment horizontal="center" vertical="center"/>
    </xf>
    <xf numFmtId="15" fontId="25" fillId="12" borderId="4" xfId="0" applyNumberFormat="1" applyFont="1" applyFill="1" applyBorder="1" applyAlignment="1">
      <alignment horizontal="center" vertical="center"/>
    </xf>
    <xf numFmtId="167" fontId="25" fillId="12" borderId="5" xfId="0" applyNumberFormat="1" applyFont="1" applyFill="1" applyBorder="1" applyAlignment="1">
      <alignment horizontal="right" vertical="center"/>
    </xf>
    <xf numFmtId="0" fontId="25" fillId="12" borderId="6" xfId="0" applyFont="1" applyFill="1" applyBorder="1" applyAlignment="1">
      <alignment vertical="center"/>
    </xf>
    <xf numFmtId="15" fontId="25" fillId="12" borderId="7" xfId="0" applyNumberFormat="1" applyFont="1" applyFill="1" applyBorder="1" applyAlignment="1">
      <alignment horizontal="center" vertical="center"/>
    </xf>
    <xf numFmtId="15" fontId="25" fillId="12" borderId="23" xfId="0" applyNumberFormat="1" applyFont="1" applyFill="1" applyBorder="1" applyAlignment="1">
      <alignment horizontal="center" vertical="center"/>
    </xf>
    <xf numFmtId="15" fontId="25" fillId="12" borderId="63" xfId="0" applyNumberFormat="1" applyFont="1" applyFill="1" applyBorder="1" applyAlignment="1">
      <alignment horizontal="center" vertical="center"/>
    </xf>
    <xf numFmtId="0" fontId="25" fillId="12" borderId="5" xfId="2" applyFont="1" applyFill="1" applyBorder="1" applyAlignment="1">
      <alignment horizontal="center" vertical="center" wrapText="1"/>
    </xf>
    <xf numFmtId="0" fontId="25" fillId="13" borderId="30" xfId="2" applyFont="1" applyFill="1" applyBorder="1" applyAlignment="1">
      <alignment horizontal="right" vertical="center" wrapText="1"/>
    </xf>
    <xf numFmtId="167" fontId="25" fillId="12" borderId="5" xfId="2" applyNumberFormat="1" applyFont="1" applyFill="1" applyBorder="1" applyAlignment="1">
      <alignment vertical="center" wrapText="1"/>
    </xf>
    <xf numFmtId="167" fontId="26" fillId="12" borderId="11" xfId="2" applyNumberFormat="1" applyFont="1" applyFill="1" applyBorder="1" applyAlignment="1">
      <alignment horizontal="right" vertical="center" wrapText="1"/>
    </xf>
    <xf numFmtId="167" fontId="26" fillId="12" borderId="26" xfId="2" applyNumberFormat="1" applyFont="1" applyFill="1" applyBorder="1" applyAlignment="1">
      <alignment horizontal="right" vertical="center" wrapText="1"/>
    </xf>
    <xf numFmtId="0" fontId="26" fillId="12" borderId="11" xfId="2" applyFont="1" applyFill="1" applyBorder="1" applyAlignment="1">
      <alignment horizontal="right" vertical="center" wrapText="1"/>
    </xf>
    <xf numFmtId="0" fontId="25" fillId="12" borderId="16" xfId="2" applyFont="1" applyFill="1" applyBorder="1" applyAlignment="1">
      <alignment horizontal="center" vertical="center" wrapText="1"/>
    </xf>
    <xf numFmtId="167" fontId="25" fillId="12" borderId="19" xfId="2" applyNumberFormat="1" applyFont="1" applyFill="1" applyBorder="1" applyAlignment="1">
      <alignment horizontal="right" vertical="center" wrapText="1"/>
    </xf>
    <xf numFmtId="0" fontId="25" fillId="12" borderId="20" xfId="0" applyFont="1" applyFill="1" applyBorder="1" applyAlignment="1">
      <alignment horizontal="left" vertical="center"/>
    </xf>
    <xf numFmtId="169" fontId="26" fillId="12" borderId="0" xfId="2" applyNumberFormat="1" applyFont="1" applyFill="1" applyBorder="1" applyAlignment="1">
      <alignment vertical="center" wrapText="1"/>
    </xf>
    <xf numFmtId="0" fontId="26" fillId="12" borderId="22" xfId="0" applyFont="1" applyFill="1" applyBorder="1" applyAlignment="1">
      <alignment horizontal="left" vertical="center"/>
    </xf>
    <xf numFmtId="0" fontId="25" fillId="12" borderId="14" xfId="0" applyFont="1" applyFill="1" applyBorder="1" applyAlignment="1">
      <alignment horizontal="left" vertical="center" wrapText="1"/>
    </xf>
    <xf numFmtId="167" fontId="25" fillId="12" borderId="14" xfId="2" applyNumberFormat="1" applyFont="1" applyFill="1" applyBorder="1" applyAlignment="1">
      <alignment horizontal="right" vertical="center" wrapText="1"/>
    </xf>
    <xf numFmtId="169" fontId="26" fillId="12" borderId="7" xfId="2" applyNumberFormat="1" applyFont="1" applyFill="1" applyBorder="1" applyAlignment="1">
      <alignment vertical="center" wrapText="1"/>
    </xf>
    <xf numFmtId="0" fontId="25" fillId="12" borderId="23" xfId="2" applyFont="1" applyFill="1" applyBorder="1" applyAlignment="1">
      <alignment horizontal="center" vertical="center" wrapText="1"/>
    </xf>
    <xf numFmtId="3" fontId="26" fillId="12" borderId="14" xfId="2" applyNumberFormat="1" applyFont="1" applyFill="1" applyBorder="1" applyAlignment="1">
      <alignment vertical="center" wrapText="1"/>
    </xf>
    <xf numFmtId="3" fontId="26" fillId="12" borderId="5" xfId="2" applyNumberFormat="1" applyFont="1" applyFill="1" applyBorder="1" applyAlignment="1">
      <alignment vertical="center" wrapText="1"/>
    </xf>
    <xf numFmtId="15" fontId="25" fillId="13" borderId="15" xfId="2" applyNumberFormat="1" applyFont="1" applyFill="1" applyBorder="1" applyAlignment="1">
      <alignment horizontal="center" vertical="center" wrapText="1"/>
    </xf>
    <xf numFmtId="0" fontId="25" fillId="12" borderId="24" xfId="0" applyFont="1" applyFill="1" applyBorder="1" applyAlignment="1">
      <alignment horizontal="left" vertical="center"/>
    </xf>
    <xf numFmtId="169" fontId="26" fillId="12" borderId="23" xfId="2" applyNumberFormat="1" applyFont="1" applyFill="1" applyBorder="1" applyAlignment="1">
      <alignment horizontal="right" vertical="center" wrapText="1"/>
    </xf>
    <xf numFmtId="0" fontId="25" fillId="12" borderId="42" xfId="0" applyFont="1" applyFill="1" applyBorder="1" applyAlignment="1">
      <alignment horizontal="left" vertical="center" wrapText="1"/>
    </xf>
    <xf numFmtId="0" fontId="25" fillId="12" borderId="21" xfId="0" applyFont="1" applyFill="1" applyBorder="1" applyAlignment="1">
      <alignment horizontal="left" vertical="center" wrapText="1"/>
    </xf>
    <xf numFmtId="0" fontId="25" fillId="12" borderId="15" xfId="0" applyFont="1" applyFill="1" applyBorder="1" applyAlignment="1">
      <alignment horizontal="left" vertical="center" wrapText="1"/>
    </xf>
    <xf numFmtId="0" fontId="25" fillId="12" borderId="23" xfId="0" applyFont="1" applyFill="1" applyBorder="1" applyAlignment="1">
      <alignment vertical="center"/>
    </xf>
    <xf numFmtId="0" fontId="25" fillId="12" borderId="23" xfId="0" applyFont="1" applyFill="1" applyBorder="1" applyAlignment="1">
      <alignment horizontal="left" vertical="center"/>
    </xf>
    <xf numFmtId="169" fontId="26" fillId="12" borderId="11" xfId="2" applyNumberFormat="1" applyFont="1" applyFill="1" applyBorder="1" applyAlignment="1">
      <alignment vertical="center" wrapText="1"/>
    </xf>
    <xf numFmtId="15" fontId="25" fillId="12" borderId="2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left" vertical="center"/>
    </xf>
    <xf numFmtId="15" fontId="1" fillId="0" borderId="10" xfId="0" applyNumberFormat="1" applyFont="1" applyFill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center" vertical="center"/>
    </xf>
    <xf numFmtId="169" fontId="1" fillId="0" borderId="14" xfId="0" applyNumberFormat="1" applyFont="1" applyFill="1" applyBorder="1" applyAlignment="1">
      <alignment horizontal="right" vertical="center"/>
    </xf>
    <xf numFmtId="169" fontId="1" fillId="0" borderId="5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right" vertical="center"/>
    </xf>
    <xf numFmtId="167" fontId="1" fillId="0" borderId="5" xfId="0" applyNumberFormat="1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3" fontId="1" fillId="17" borderId="36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1" fillId="12" borderId="10" xfId="0" applyNumberFormat="1" applyFont="1" applyFill="1" applyBorder="1" applyAlignment="1">
      <alignment horizontal="left" vertical="center"/>
    </xf>
    <xf numFmtId="1" fontId="1" fillId="12" borderId="4" xfId="0" applyNumberFormat="1" applyFont="1" applyFill="1" applyBorder="1" applyAlignment="1">
      <alignment horizontal="left" vertical="center"/>
    </xf>
    <xf numFmtId="49" fontId="1" fillId="12" borderId="10" xfId="0" applyNumberFormat="1" applyFont="1" applyFill="1" applyBorder="1" applyAlignment="1">
      <alignment horizontal="center" vertical="center"/>
    </xf>
    <xf numFmtId="49" fontId="1" fillId="12" borderId="4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17" fontId="1" fillId="0" borderId="9" xfId="0" applyNumberFormat="1" applyFont="1" applyFill="1" applyBorder="1" applyAlignment="1">
      <alignment horizontal="center" vertical="center"/>
    </xf>
    <xf numFmtId="169" fontId="35" fillId="0" borderId="0" xfId="0" applyNumberFormat="1" applyFont="1" applyFill="1" applyAlignment="1">
      <alignment vertical="center"/>
    </xf>
    <xf numFmtId="49" fontId="31" fillId="0" borderId="20" xfId="0" applyNumberFormat="1" applyFont="1" applyFill="1" applyBorder="1" applyAlignment="1">
      <alignment horizontal="center" vertical="center"/>
    </xf>
    <xf numFmtId="15" fontId="31" fillId="0" borderId="9" xfId="0" applyNumberFormat="1" applyFont="1" applyFill="1" applyBorder="1" applyAlignment="1">
      <alignment horizontal="center" vertical="center"/>
    </xf>
    <xf numFmtId="169" fontId="31" fillId="0" borderId="7" xfId="0" applyNumberFormat="1" applyFont="1" applyFill="1" applyBorder="1" applyAlignment="1">
      <alignment horizontal="righ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center" vertical="center"/>
    </xf>
    <xf numFmtId="167" fontId="31" fillId="0" borderId="7" xfId="0" applyNumberFormat="1" applyFont="1" applyFill="1" applyBorder="1" applyAlignment="1">
      <alignment horizontal="right" vertical="center"/>
    </xf>
    <xf numFmtId="17" fontId="31" fillId="0" borderId="7" xfId="0" applyNumberFormat="1" applyFont="1" applyFill="1" applyBorder="1" applyAlignment="1">
      <alignment horizontal="right" vertical="center"/>
    </xf>
    <xf numFmtId="0" fontId="33" fillId="0" borderId="0" xfId="0" applyFont="1" applyFill="1" applyAlignment="1">
      <alignment vertical="center"/>
    </xf>
    <xf numFmtId="1" fontId="31" fillId="0" borderId="9" xfId="0" applyNumberFormat="1" applyFont="1" applyFill="1" applyBorder="1" applyAlignment="1">
      <alignment horizontal="justify" vertical="center" wrapText="1"/>
    </xf>
    <xf numFmtId="169" fontId="33" fillId="0" borderId="0" xfId="0" applyNumberFormat="1" applyFont="1" applyFill="1" applyAlignment="1">
      <alignment vertical="center"/>
    </xf>
    <xf numFmtId="1" fontId="31" fillId="0" borderId="7" xfId="0" applyNumberFormat="1" applyFont="1" applyFill="1" applyBorder="1" applyAlignment="1">
      <alignment horizontal="justify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/>
    </xf>
    <xf numFmtId="167" fontId="1" fillId="0" borderId="5" xfId="0" applyNumberFormat="1" applyFont="1" applyFill="1" applyBorder="1" applyAlignment="1">
      <alignment vertical="center"/>
    </xf>
    <xf numFmtId="169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36" xfId="0" applyFont="1" applyFill="1" applyBorder="1" applyAlignment="1">
      <alignment horizontal="right" vertical="center"/>
    </xf>
    <xf numFmtId="167" fontId="1" fillId="0" borderId="19" xfId="0" applyNumberFormat="1" applyFont="1" applyFill="1" applyBorder="1" applyAlignment="1">
      <alignment vertical="center"/>
    </xf>
    <xf numFmtId="14" fontId="35" fillId="0" borderId="0" xfId="0" applyNumberFormat="1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169" fontId="1" fillId="0" borderId="0" xfId="0" applyNumberFormat="1" applyFont="1" applyFill="1" applyAlignment="1">
      <alignment vertical="center"/>
    </xf>
    <xf numFmtId="169" fontId="1" fillId="17" borderId="14" xfId="0" applyNumberFormat="1" applyFont="1" applyFill="1" applyBorder="1" applyAlignment="1">
      <alignment vertical="center"/>
    </xf>
    <xf numFmtId="0" fontId="1" fillId="17" borderId="12" xfId="0" applyFont="1" applyFill="1" applyBorder="1" applyAlignment="1">
      <alignment vertical="center"/>
    </xf>
    <xf numFmtId="167" fontId="1" fillId="17" borderId="14" xfId="0" applyNumberFormat="1" applyFont="1" applyFill="1" applyBorder="1" applyAlignment="1">
      <alignment vertical="center"/>
    </xf>
    <xf numFmtId="169" fontId="1" fillId="17" borderId="56" xfId="0" applyNumberFormat="1" applyFont="1" applyFill="1" applyBorder="1" applyAlignment="1">
      <alignment vertical="center"/>
    </xf>
    <xf numFmtId="0" fontId="1" fillId="17" borderId="69" xfId="0" applyFont="1" applyFill="1" applyBorder="1" applyAlignment="1">
      <alignment vertical="center"/>
    </xf>
    <xf numFmtId="167" fontId="1" fillId="17" borderId="56" xfId="0" applyNumberFormat="1" applyFont="1" applyFill="1" applyBorder="1" applyAlignment="1">
      <alignment vertical="center"/>
    </xf>
    <xf numFmtId="167" fontId="1" fillId="0" borderId="52" xfId="0" applyNumberFormat="1" applyFont="1" applyFill="1" applyBorder="1" applyAlignment="1">
      <alignment vertical="center"/>
    </xf>
    <xf numFmtId="0" fontId="1" fillId="0" borderId="88" xfId="0" applyFont="1" applyFill="1" applyBorder="1" applyAlignment="1">
      <alignment vertical="center"/>
    </xf>
    <xf numFmtId="169" fontId="1" fillId="0" borderId="52" xfId="0" applyNumberFormat="1" applyFont="1" applyFill="1" applyBorder="1" applyAlignment="1">
      <alignment vertical="center"/>
    </xf>
    <xf numFmtId="17" fontId="1" fillId="17" borderId="56" xfId="0" applyNumberFormat="1" applyFont="1" applyFill="1" applyBorder="1" applyAlignment="1">
      <alignment horizontal="right" vertical="center"/>
    </xf>
    <xf numFmtId="167" fontId="25" fillId="0" borderId="7" xfId="2" applyNumberFormat="1" applyFont="1" applyFill="1" applyBorder="1" applyAlignment="1">
      <alignment horizontal="right" vertical="center" wrapText="1"/>
    </xf>
    <xf numFmtId="0" fontId="26" fillId="0" borderId="24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49" fontId="1" fillId="0" borderId="20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3" fontId="31" fillId="0" borderId="7" xfId="0" applyNumberFormat="1" applyFont="1" applyFill="1" applyBorder="1" applyAlignment="1">
      <alignment horizontal="right" vertical="center" wrapText="1"/>
    </xf>
    <xf numFmtId="14" fontId="33" fillId="0" borderId="0" xfId="0" applyNumberFormat="1" applyFont="1" applyFill="1" applyAlignment="1">
      <alignment vertical="center"/>
    </xf>
    <xf numFmtId="174" fontId="39" fillId="12" borderId="41" xfId="4" applyNumberFormat="1" applyFont="1" applyFill="1" applyBorder="1" applyAlignment="1">
      <alignment horizontal="center" vertical="center"/>
    </xf>
    <xf numFmtId="0" fontId="39" fillId="12" borderId="28" xfId="4" applyFont="1" applyFill="1" applyBorder="1" applyAlignment="1">
      <alignment vertical="center" wrapText="1"/>
    </xf>
    <xf numFmtId="0" fontId="39" fillId="0" borderId="28" xfId="3" applyFont="1" applyFill="1" applyBorder="1" applyAlignment="1">
      <alignment horizontal="center" vertical="center" wrapText="1"/>
    </xf>
    <xf numFmtId="167" fontId="14" fillId="0" borderId="6" xfId="0" applyNumberFormat="1" applyFont="1" applyFill="1" applyBorder="1" applyAlignment="1">
      <alignment horizontal="left" vertical="center" wrapText="1"/>
    </xf>
    <xf numFmtId="15" fontId="39" fillId="0" borderId="15" xfId="3" applyNumberFormat="1" applyFont="1" applyFill="1" applyBorder="1" applyAlignment="1">
      <alignment horizontal="center" vertical="center"/>
    </xf>
    <xf numFmtId="0" fontId="37" fillId="0" borderId="0" xfId="3" applyFont="1" applyBorder="1" applyAlignment="1">
      <alignment horizontal="center"/>
    </xf>
    <xf numFmtId="0" fontId="14" fillId="0" borderId="33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7" xfId="0" applyFont="1" applyFill="1" applyBorder="1"/>
    <xf numFmtId="0" fontId="14" fillId="0" borderId="27" xfId="0" applyFont="1" applyFill="1" applyBorder="1" applyAlignment="1">
      <alignment horizontal="center"/>
    </xf>
    <xf numFmtId="15" fontId="14" fillId="0" borderId="27" xfId="0" applyNumberFormat="1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20" fillId="0" borderId="0" xfId="0" applyFont="1" applyFill="1"/>
    <xf numFmtId="15" fontId="21" fillId="17" borderId="75" xfId="0" applyNumberFormat="1" applyFont="1" applyFill="1" applyBorder="1" applyAlignment="1">
      <alignment horizontal="center"/>
    </xf>
    <xf numFmtId="0" fontId="21" fillId="17" borderId="75" xfId="0" applyFont="1" applyFill="1" applyBorder="1" applyAlignment="1">
      <alignment horizontal="center"/>
    </xf>
    <xf numFmtId="0" fontId="14" fillId="17" borderId="14" xfId="0" applyFont="1" applyFill="1" applyBorder="1" applyAlignment="1">
      <alignment horizontal="left" vertical="center"/>
    </xf>
    <xf numFmtId="15" fontId="17" fillId="17" borderId="26" xfId="0" applyNumberFormat="1" applyFont="1" applyFill="1" applyBorder="1" applyAlignment="1">
      <alignment horizontal="left" vertical="center"/>
    </xf>
    <xf numFmtId="0" fontId="21" fillId="17" borderId="26" xfId="0" applyFont="1" applyFill="1" applyBorder="1" applyAlignment="1">
      <alignment horizontal="left"/>
    </xf>
    <xf numFmtId="0" fontId="21" fillId="17" borderId="26" xfId="0" applyFont="1" applyFill="1" applyBorder="1"/>
    <xf numFmtId="15" fontId="20" fillId="17" borderId="26" xfId="0" applyNumberFormat="1" applyFont="1" applyFill="1" applyBorder="1" applyAlignment="1">
      <alignment horizontal="center"/>
    </xf>
    <xf numFmtId="0" fontId="20" fillId="17" borderId="26" xfId="0" applyFont="1" applyFill="1" applyBorder="1"/>
    <xf numFmtId="0" fontId="21" fillId="17" borderId="26" xfId="0" applyFont="1" applyFill="1" applyBorder="1" applyAlignment="1">
      <alignment vertical="center"/>
    </xf>
    <xf numFmtId="0" fontId="14" fillId="17" borderId="26" xfId="0" applyFont="1" applyFill="1" applyBorder="1" applyAlignment="1">
      <alignment horizontal="left" vertical="center"/>
    </xf>
    <xf numFmtId="0" fontId="21" fillId="17" borderId="26" xfId="0" applyFont="1" applyFill="1" applyBorder="1" applyAlignment="1">
      <alignment horizontal="right" vertical="center"/>
    </xf>
    <xf numFmtId="167" fontId="21" fillId="17" borderId="12" xfId="0" applyNumberFormat="1" applyFont="1" applyFill="1" applyBorder="1" applyAlignment="1">
      <alignment horizontal="left" vertical="center"/>
    </xf>
    <xf numFmtId="0" fontId="14" fillId="17" borderId="19" xfId="0" applyFont="1" applyFill="1" applyBorder="1" applyAlignment="1">
      <alignment horizontal="left" vertical="center"/>
    </xf>
    <xf numFmtId="0" fontId="17" fillId="17" borderId="0" xfId="0" applyFont="1" applyFill="1" applyBorder="1" applyAlignment="1">
      <alignment vertical="center" wrapText="1"/>
    </xf>
    <xf numFmtId="0" fontId="21" fillId="17" borderId="0" xfId="0" applyFont="1" applyFill="1" applyBorder="1" applyAlignment="1">
      <alignment horizontal="left"/>
    </xf>
    <xf numFmtId="0" fontId="21" fillId="17" borderId="0" xfId="0" applyFont="1" applyFill="1" applyBorder="1"/>
    <xf numFmtId="15" fontId="20" fillId="17" borderId="0" xfId="0" applyNumberFormat="1" applyFont="1" applyFill="1" applyBorder="1" applyAlignment="1">
      <alignment horizontal="center"/>
    </xf>
    <xf numFmtId="0" fontId="20" fillId="17" borderId="0" xfId="0" applyFont="1" applyFill="1" applyBorder="1"/>
    <xf numFmtId="14" fontId="21" fillId="17" borderId="0" xfId="0" applyNumberFormat="1" applyFont="1" applyFill="1" applyBorder="1" applyAlignment="1">
      <alignment vertical="center"/>
    </xf>
    <xf numFmtId="0" fontId="14" fillId="17" borderId="0" xfId="0" applyFont="1" applyFill="1" applyBorder="1" applyAlignment="1">
      <alignment horizontal="left" vertical="center"/>
    </xf>
    <xf numFmtId="0" fontId="21" fillId="17" borderId="0" xfId="0" applyFont="1" applyFill="1" applyBorder="1" applyAlignment="1">
      <alignment horizontal="right" vertical="center"/>
    </xf>
    <xf numFmtId="0" fontId="21" fillId="17" borderId="20" xfId="0" applyFont="1" applyFill="1" applyBorder="1" applyAlignment="1">
      <alignment horizontal="left" vertical="center"/>
    </xf>
    <xf numFmtId="0" fontId="14" fillId="17" borderId="5" xfId="0" applyFont="1" applyFill="1" applyBorder="1" applyAlignment="1">
      <alignment horizontal="left" vertical="center"/>
    </xf>
    <xf numFmtId="49" fontId="17" fillId="17" borderId="11" xfId="0" applyNumberFormat="1" applyFont="1" applyFill="1" applyBorder="1" applyAlignment="1">
      <alignment horizontal="left" vertical="center"/>
    </xf>
    <xf numFmtId="0" fontId="21" fillId="17" borderId="11" xfId="0" applyFont="1" applyFill="1" applyBorder="1" applyAlignment="1">
      <alignment horizontal="left"/>
    </xf>
    <xf numFmtId="0" fontId="21" fillId="17" borderId="11" xfId="0" applyFont="1" applyFill="1" applyBorder="1"/>
    <xf numFmtId="15" fontId="20" fillId="17" borderId="11" xfId="0" applyNumberFormat="1" applyFont="1" applyFill="1" applyBorder="1" applyAlignment="1">
      <alignment horizontal="center"/>
    </xf>
    <xf numFmtId="0" fontId="20" fillId="17" borderId="11" xfId="0" applyFont="1" applyFill="1" applyBorder="1"/>
    <xf numFmtId="0" fontId="21" fillId="17" borderId="11" xfId="0" applyFont="1" applyFill="1" applyBorder="1" applyAlignment="1">
      <alignment vertical="center"/>
    </xf>
    <xf numFmtId="0" fontId="14" fillId="17" borderId="11" xfId="0" applyFont="1" applyFill="1" applyBorder="1" applyAlignment="1">
      <alignment horizontal="left" vertical="center"/>
    </xf>
    <xf numFmtId="0" fontId="21" fillId="17" borderId="11" xfId="0" applyFont="1" applyFill="1" applyBorder="1" applyAlignment="1">
      <alignment horizontal="right" vertical="center"/>
    </xf>
    <xf numFmtId="15" fontId="21" fillId="17" borderId="6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 wrapText="1"/>
    </xf>
    <xf numFmtId="14" fontId="32" fillId="0" borderId="28" xfId="0" applyNumberFormat="1" applyFont="1" applyFill="1" applyBorder="1" applyAlignment="1">
      <alignment horizontal="center" vertical="center" wrapText="1"/>
    </xf>
    <xf numFmtId="171" fontId="46" fillId="0" borderId="28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5" fontId="14" fillId="0" borderId="0" xfId="0" applyNumberFormat="1" applyFont="1" applyFill="1" applyBorder="1" applyAlignment="1">
      <alignment horizontal="center" vertical="center" wrapText="1"/>
    </xf>
    <xf numFmtId="15" fontId="29" fillId="0" borderId="0" xfId="0" applyNumberFormat="1" applyFont="1" applyFill="1" applyAlignment="1">
      <alignment horizontal="center" vertical="center" wrapText="1"/>
    </xf>
    <xf numFmtId="0" fontId="29" fillId="0" borderId="0" xfId="0" applyFont="1" applyFill="1" applyAlignment="1">
      <alignment horizontal="right" vertical="center" wrapText="1"/>
    </xf>
    <xf numFmtId="0" fontId="6" fillId="0" borderId="14" xfId="0" applyFont="1" applyFill="1" applyBorder="1" applyAlignment="1">
      <alignment horizontal="left" vertical="center" wrapText="1"/>
    </xf>
    <xf numFmtId="15" fontId="30" fillId="0" borderId="26" xfId="0" applyNumberFormat="1" applyFont="1" applyFill="1" applyBorder="1" applyAlignment="1">
      <alignment horizontal="left" vertical="center"/>
    </xf>
    <xf numFmtId="0" fontId="30" fillId="0" borderId="26" xfId="0" applyFont="1" applyFill="1" applyBorder="1" applyAlignment="1">
      <alignment horizontal="left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right" vertical="center" wrapText="1"/>
    </xf>
    <xf numFmtId="15" fontId="30" fillId="0" borderId="26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right" vertical="center"/>
    </xf>
    <xf numFmtId="2" fontId="30" fillId="0" borderId="12" xfId="0" applyNumberFormat="1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/>
    </xf>
    <xf numFmtId="15" fontId="30" fillId="0" borderId="0" xfId="0" applyNumberFormat="1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center" wrapText="1"/>
    </xf>
    <xf numFmtId="15" fontId="3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30" fillId="0" borderId="2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30" fillId="0" borderId="11" xfId="0" applyNumberFormat="1" applyFont="1" applyFill="1" applyBorder="1" applyAlignment="1">
      <alignment horizontal="left" vertical="center"/>
    </xf>
    <xf numFmtId="15" fontId="30" fillId="0" borderId="11" xfId="0" applyNumberFormat="1" applyFont="1" applyFill="1" applyBorder="1" applyAlignment="1">
      <alignment horizontal="left" vertical="top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right" vertical="center" wrapText="1"/>
    </xf>
    <xf numFmtId="15" fontId="30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/>
    </xf>
    <xf numFmtId="15" fontId="30" fillId="0" borderId="6" xfId="0" applyNumberFormat="1" applyFont="1" applyFill="1" applyBorder="1" applyAlignment="1">
      <alignment horizontal="left" vertical="center"/>
    </xf>
    <xf numFmtId="164" fontId="29" fillId="0" borderId="0" xfId="0" applyNumberFormat="1" applyFont="1" applyFill="1" applyAlignment="1">
      <alignment horizontal="center" vertical="center" wrapText="1"/>
    </xf>
    <xf numFmtId="164" fontId="29" fillId="0" borderId="0" xfId="0" applyNumberFormat="1" applyFont="1" applyFill="1" applyAlignment="1">
      <alignment horizontal="right" vertical="center" wrapText="1"/>
    </xf>
    <xf numFmtId="166" fontId="29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5" fontId="30" fillId="0" borderId="27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0" fontId="31" fillId="0" borderId="70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31" fillId="0" borderId="54" xfId="0" applyFont="1" applyFill="1" applyBorder="1" applyAlignment="1">
      <alignment horizontal="center" vertical="center" wrapText="1"/>
    </xf>
    <xf numFmtId="15" fontId="31" fillId="0" borderId="36" xfId="0" applyNumberFormat="1" applyFont="1" applyFill="1" applyBorder="1" applyAlignment="1">
      <alignment horizontal="center" vertical="center" wrapText="1"/>
    </xf>
    <xf numFmtId="0" fontId="31" fillId="0" borderId="68" xfId="0" applyFont="1" applyFill="1" applyBorder="1" applyAlignment="1">
      <alignment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49" fontId="31" fillId="0" borderId="57" xfId="0" applyNumberFormat="1" applyFont="1" applyFill="1" applyBorder="1" applyAlignment="1">
      <alignment horizontal="center" vertical="center" wrapText="1"/>
    </xf>
    <xf numFmtId="15" fontId="31" fillId="0" borderId="58" xfId="0" applyNumberFormat="1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 vertical="center" wrapText="1"/>
    </xf>
    <xf numFmtId="164" fontId="31" fillId="0" borderId="58" xfId="0" applyNumberFormat="1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right" vertical="center" wrapText="1"/>
    </xf>
    <xf numFmtId="0" fontId="31" fillId="0" borderId="58" xfId="0" applyFont="1" applyFill="1" applyBorder="1" applyAlignment="1">
      <alignment vertical="center" wrapText="1"/>
    </xf>
    <xf numFmtId="0" fontId="31" fillId="0" borderId="50" xfId="0" applyFont="1" applyFill="1" applyBorder="1" applyAlignment="1">
      <alignment vertical="center" wrapText="1"/>
    </xf>
    <xf numFmtId="15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right" vertical="center" wrapText="1"/>
    </xf>
    <xf numFmtId="166" fontId="1" fillId="0" borderId="31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right" vertical="center" wrapText="1"/>
    </xf>
    <xf numFmtId="164" fontId="46" fillId="0" borderId="31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166" fontId="1" fillId="0" borderId="28" xfId="0" applyNumberFormat="1" applyFont="1" applyFill="1" applyBorder="1" applyAlignment="1">
      <alignment horizontal="center" vertical="center" wrapText="1"/>
    </xf>
    <xf numFmtId="167" fontId="1" fillId="0" borderId="15" xfId="0" applyNumberFormat="1" applyFont="1" applyFill="1" applyBorder="1" applyAlignment="1">
      <alignment horizontal="right" vertical="center" wrapText="1"/>
    </xf>
    <xf numFmtId="166" fontId="32" fillId="0" borderId="28" xfId="0" applyNumberFormat="1" applyFont="1" applyFill="1" applyBorder="1" applyAlignment="1">
      <alignment horizontal="center" vertical="center" wrapText="1"/>
    </xf>
    <xf numFmtId="167" fontId="1" fillId="0" borderId="28" xfId="0" applyNumberFormat="1" applyFont="1" applyFill="1" applyBorder="1" applyAlignment="1">
      <alignment horizontal="right" vertical="center" wrapText="1"/>
    </xf>
    <xf numFmtId="170" fontId="1" fillId="0" borderId="28" xfId="0" applyNumberFormat="1" applyFont="1" applyFill="1" applyBorder="1" applyAlignment="1">
      <alignment horizontal="center" vertical="center" wrapText="1"/>
    </xf>
    <xf numFmtId="170" fontId="31" fillId="0" borderId="7" xfId="0" applyNumberFormat="1" applyFont="1" applyFill="1" applyBorder="1" applyAlignment="1">
      <alignment horizontal="right" vertical="center" wrapText="1"/>
    </xf>
    <xf numFmtId="170" fontId="1" fillId="0" borderId="7" xfId="0" applyNumberFormat="1" applyFont="1" applyFill="1" applyBorder="1" applyAlignment="1">
      <alignment horizontal="right" vertical="center" wrapText="1"/>
    </xf>
    <xf numFmtId="170" fontId="1" fillId="0" borderId="15" xfId="0" applyNumberFormat="1" applyFont="1" applyFill="1" applyBorder="1" applyAlignment="1">
      <alignment horizontal="right" vertical="center" wrapText="1"/>
    </xf>
    <xf numFmtId="170" fontId="1" fillId="0" borderId="21" xfId="0" applyNumberFormat="1" applyFont="1" applyFill="1" applyBorder="1" applyAlignment="1">
      <alignment horizontal="right" vertical="center" wrapText="1"/>
    </xf>
    <xf numFmtId="170" fontId="47" fillId="0" borderId="28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Fill="1" applyBorder="1" applyAlignment="1">
      <alignment horizontal="left" vertical="center" wrapText="1"/>
    </xf>
    <xf numFmtId="15" fontId="1" fillId="0" borderId="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70" fontId="1" fillId="0" borderId="23" xfId="0" applyNumberFormat="1" applyFont="1" applyFill="1" applyBorder="1" applyAlignment="1">
      <alignment horizontal="center" vertical="center" wrapText="1"/>
    </xf>
    <xf numFmtId="15" fontId="35" fillId="0" borderId="8" xfId="0" applyNumberFormat="1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justify" vertical="center" wrapText="1"/>
    </xf>
    <xf numFmtId="0" fontId="32" fillId="0" borderId="28" xfId="0" applyFont="1" applyFill="1" applyBorder="1" applyAlignment="1">
      <alignment horizontal="justify" vertical="center" wrapText="1"/>
    </xf>
    <xf numFmtId="170" fontId="1" fillId="0" borderId="8" xfId="0" applyNumberFormat="1" applyFont="1" applyFill="1" applyBorder="1" applyAlignment="1">
      <alignment horizontal="center" vertical="center" wrapText="1"/>
    </xf>
    <xf numFmtId="174" fontId="1" fillId="0" borderId="7" xfId="0" applyNumberFormat="1" applyFont="1" applyFill="1" applyBorder="1" applyAlignment="1">
      <alignment horizontal="center" vertical="center" wrapText="1"/>
    </xf>
    <xf numFmtId="170" fontId="1" fillId="0" borderId="15" xfId="0" applyNumberFormat="1" applyFont="1" applyFill="1" applyBorder="1" applyAlignment="1">
      <alignment horizontal="center" vertical="center" wrapText="1"/>
    </xf>
    <xf numFmtId="173" fontId="31" fillId="0" borderId="28" xfId="0" applyNumberFormat="1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vertical="center" wrapText="1"/>
    </xf>
    <xf numFmtId="164" fontId="46" fillId="0" borderId="28" xfId="0" applyNumberFormat="1" applyFont="1" applyFill="1" applyBorder="1" applyAlignment="1">
      <alignment vertical="center" wrapText="1"/>
    </xf>
    <xf numFmtId="167" fontId="1" fillId="0" borderId="21" xfId="0" applyNumberFormat="1" applyFont="1" applyFill="1" applyBorder="1" applyAlignment="1">
      <alignment horizontal="right" vertical="center" wrapText="1"/>
    </xf>
    <xf numFmtId="0" fontId="31" fillId="0" borderId="14" xfId="0" applyFont="1" applyFill="1" applyBorder="1" applyAlignment="1">
      <alignment horizontal="center" vertical="center" wrapText="1"/>
    </xf>
    <xf numFmtId="171" fontId="31" fillId="0" borderId="45" xfId="0" applyNumberFormat="1" applyFont="1" applyFill="1" applyBorder="1" applyAlignment="1">
      <alignment horizontal="right" vertical="center" wrapText="1"/>
    </xf>
    <xf numFmtId="171" fontId="31" fillId="0" borderId="43" xfId="0" applyNumberFormat="1" applyFont="1" applyFill="1" applyBorder="1" applyAlignment="1">
      <alignment horizontal="right" vertical="center" wrapText="1"/>
    </xf>
    <xf numFmtId="0" fontId="31" fillId="0" borderId="5" xfId="0" applyFont="1" applyFill="1" applyBorder="1" applyAlignment="1">
      <alignment horizontal="center" vertical="center" wrapText="1"/>
    </xf>
    <xf numFmtId="15" fontId="31" fillId="0" borderId="30" xfId="0" applyNumberFormat="1" applyFont="1" applyFill="1" applyBorder="1" applyAlignment="1">
      <alignment horizontal="right" vertical="center" wrapText="1"/>
    </xf>
    <xf numFmtId="181" fontId="31" fillId="0" borderId="31" xfId="0" applyNumberFormat="1" applyFont="1" applyFill="1" applyBorder="1" applyAlignment="1">
      <alignment horizontal="right" vertical="center" wrapText="1"/>
    </xf>
    <xf numFmtId="15" fontId="1" fillId="0" borderId="9" xfId="0" applyNumberFormat="1" applyFont="1" applyFill="1" applyBorder="1" applyAlignment="1">
      <alignment horizontal="left" vertical="center" wrapText="1"/>
    </xf>
    <xf numFmtId="170" fontId="1" fillId="0" borderId="15" xfId="0" applyNumberFormat="1" applyFont="1" applyFill="1" applyBorder="1" applyAlignment="1">
      <alignment vertical="center" wrapText="1"/>
    </xf>
    <xf numFmtId="15" fontId="1" fillId="0" borderId="9" xfId="0" applyNumberFormat="1" applyFont="1" applyFill="1" applyBorder="1" applyAlignment="1">
      <alignment vertical="center" wrapText="1"/>
    </xf>
    <xf numFmtId="171" fontId="1" fillId="0" borderId="21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164" fontId="4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5" fontId="14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horizontal="right" vertical="center" wrapText="1"/>
    </xf>
    <xf numFmtId="166" fontId="14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3" fillId="9" borderId="7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167" fontId="6" fillId="0" borderId="32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0" fontId="26" fillId="12" borderId="10" xfId="0" applyFont="1" applyFill="1" applyBorder="1" applyAlignment="1">
      <alignment horizontal="left" vertical="center" wrapText="1"/>
    </xf>
    <xf numFmtId="0" fontId="26" fillId="12" borderId="4" xfId="0" applyFont="1" applyFill="1" applyBorder="1" applyAlignment="1">
      <alignment horizontal="left" vertical="center" wrapText="1"/>
    </xf>
    <xf numFmtId="0" fontId="25" fillId="12" borderId="12" xfId="0" applyFont="1" applyFill="1" applyBorder="1" applyAlignment="1">
      <alignment vertical="center"/>
    </xf>
    <xf numFmtId="0" fontId="25" fillId="12" borderId="6" xfId="0" applyFont="1" applyFill="1" applyBorder="1" applyAlignment="1">
      <alignment vertical="center"/>
    </xf>
    <xf numFmtId="0" fontId="25" fillId="12" borderId="43" xfId="2" applyFont="1" applyFill="1" applyBorder="1" applyAlignment="1">
      <alignment horizontal="center" vertical="center" wrapText="1"/>
    </xf>
    <xf numFmtId="0" fontId="25" fillId="12" borderId="31" xfId="2" applyFont="1" applyFill="1" applyBorder="1" applyAlignment="1">
      <alignment horizontal="center" vertical="center" wrapText="1"/>
    </xf>
    <xf numFmtId="167" fontId="25" fillId="12" borderId="14" xfId="2" applyNumberFormat="1" applyFont="1" applyFill="1" applyBorder="1" applyAlignment="1">
      <alignment horizontal="right" vertical="center" wrapText="1"/>
    </xf>
    <xf numFmtId="167" fontId="25" fillId="12" borderId="5" xfId="2" applyNumberFormat="1" applyFont="1" applyFill="1" applyBorder="1" applyAlignment="1">
      <alignment horizontal="right" vertical="center" wrapText="1"/>
    </xf>
    <xf numFmtId="167" fontId="25" fillId="12" borderId="14" xfId="0" applyNumberFormat="1" applyFont="1" applyFill="1" applyBorder="1" applyAlignment="1">
      <alignment horizontal="right" vertical="center"/>
    </xf>
    <xf numFmtId="167" fontId="25" fillId="12" borderId="5" xfId="0" applyNumberFormat="1" applyFont="1" applyFill="1" applyBorder="1" applyAlignment="1">
      <alignment horizontal="right" vertical="center"/>
    </xf>
    <xf numFmtId="0" fontId="25" fillId="12" borderId="12" xfId="0" applyFont="1" applyFill="1" applyBorder="1" applyAlignment="1">
      <alignment horizontal="left" vertical="center"/>
    </xf>
    <xf numFmtId="0" fontId="25" fillId="12" borderId="6" xfId="0" applyFont="1" applyFill="1" applyBorder="1" applyAlignment="1">
      <alignment horizontal="left" vertical="center"/>
    </xf>
    <xf numFmtId="0" fontId="25" fillId="12" borderId="10" xfId="0" applyFont="1" applyFill="1" applyBorder="1" applyAlignment="1">
      <alignment horizontal="left" vertical="center" wrapText="1"/>
    </xf>
    <xf numFmtId="0" fontId="25" fillId="12" borderId="4" xfId="0" applyFont="1" applyFill="1" applyBorder="1" applyAlignment="1">
      <alignment horizontal="left" vertical="center" wrapText="1"/>
    </xf>
    <xf numFmtId="15" fontId="25" fillId="12" borderId="10" xfId="0" applyNumberFormat="1" applyFont="1" applyFill="1" applyBorder="1" applyAlignment="1">
      <alignment horizontal="center" vertical="center"/>
    </xf>
    <xf numFmtId="15" fontId="25" fillId="12" borderId="4" xfId="0" applyNumberFormat="1" applyFont="1" applyFill="1" applyBorder="1" applyAlignment="1">
      <alignment horizontal="center" vertical="center"/>
    </xf>
    <xf numFmtId="15" fontId="25" fillId="0" borderId="42" xfId="2" applyNumberFormat="1" applyFont="1" applyFill="1" applyBorder="1" applyAlignment="1">
      <alignment horizontal="center" vertical="center" wrapText="1"/>
    </xf>
    <xf numFmtId="15" fontId="25" fillId="0" borderId="29" xfId="2" applyNumberFormat="1" applyFont="1" applyFill="1" applyBorder="1" applyAlignment="1">
      <alignment horizontal="center" vertical="center" wrapText="1"/>
    </xf>
    <xf numFmtId="167" fontId="25" fillId="0" borderId="14" xfId="2" applyNumberFormat="1" applyFont="1" applyFill="1" applyBorder="1" applyAlignment="1">
      <alignment horizontal="right" vertical="center" wrapText="1"/>
    </xf>
    <xf numFmtId="167" fontId="25" fillId="0" borderId="5" xfId="2" applyNumberFormat="1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15" fontId="25" fillId="12" borderId="42" xfId="2" applyNumberFormat="1" applyFont="1" applyFill="1" applyBorder="1" applyAlignment="1">
      <alignment horizontal="center" vertical="center" wrapText="1"/>
    </xf>
    <xf numFmtId="15" fontId="25" fillId="12" borderId="29" xfId="2" applyNumberFormat="1" applyFont="1" applyFill="1" applyBorder="1" applyAlignment="1">
      <alignment horizontal="center" vertical="center" wrapText="1"/>
    </xf>
    <xf numFmtId="0" fontId="25" fillId="12" borderId="32" xfId="2" applyFont="1" applyFill="1" applyBorder="1" applyAlignment="1">
      <alignment horizontal="left" vertical="center"/>
    </xf>
    <xf numFmtId="0" fontId="25" fillId="12" borderId="0" xfId="2" applyFont="1" applyFill="1" applyAlignment="1">
      <alignment horizontal="left" vertical="center"/>
    </xf>
    <xf numFmtId="0" fontId="25" fillId="12" borderId="32" xfId="2" applyFont="1" applyFill="1" applyBorder="1" applyAlignment="1">
      <alignment horizontal="center" vertical="center"/>
    </xf>
    <xf numFmtId="0" fontId="25" fillId="12" borderId="0" xfId="2" applyFont="1" applyFill="1" applyAlignment="1">
      <alignment horizontal="center" vertical="center"/>
    </xf>
    <xf numFmtId="0" fontId="25" fillId="12" borderId="32" xfId="2" applyFont="1" applyFill="1" applyBorder="1" applyAlignment="1">
      <alignment horizontal="center" vertical="center" wrapText="1"/>
    </xf>
    <xf numFmtId="0" fontId="25" fillId="12" borderId="0" xfId="2" applyFont="1" applyFill="1" applyAlignment="1">
      <alignment horizontal="center" vertical="center" wrapText="1"/>
    </xf>
    <xf numFmtId="0" fontId="25" fillId="0" borderId="32" xfId="2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25" fillId="0" borderId="12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167" fontId="25" fillId="12" borderId="14" xfId="2" applyNumberFormat="1" applyFont="1" applyFill="1" applyBorder="1" applyAlignment="1">
      <alignment vertical="center" wrapText="1"/>
    </xf>
    <xf numFmtId="167" fontId="25" fillId="12" borderId="5" xfId="2" applyNumberFormat="1" applyFont="1" applyFill="1" applyBorder="1" applyAlignment="1">
      <alignment vertical="center" wrapText="1"/>
    </xf>
    <xf numFmtId="167" fontId="25" fillId="0" borderId="14" xfId="2" applyNumberFormat="1" applyFont="1" applyFill="1" applyBorder="1" applyAlignment="1">
      <alignment vertical="center" wrapText="1"/>
    </xf>
    <xf numFmtId="167" fontId="25" fillId="0" borderId="5" xfId="2" applyNumberFormat="1" applyFont="1" applyFill="1" applyBorder="1" applyAlignment="1">
      <alignment vertical="center" wrapText="1"/>
    </xf>
    <xf numFmtId="0" fontId="25" fillId="3" borderId="12" xfId="0" applyFont="1" applyFill="1" applyBorder="1" applyAlignment="1">
      <alignment vertical="center"/>
    </xf>
    <xf numFmtId="0" fontId="25" fillId="3" borderId="6" xfId="0" applyFont="1" applyFill="1" applyBorder="1" applyAlignment="1">
      <alignment vertical="center"/>
    </xf>
    <xf numFmtId="167" fontId="25" fillId="18" borderId="7" xfId="0" applyNumberFormat="1" applyFont="1" applyFill="1" applyBorder="1" applyAlignment="1">
      <alignment horizontal="center" vertical="center"/>
    </xf>
    <xf numFmtId="167" fontId="25" fillId="18" borderId="23" xfId="0" applyNumberFormat="1" applyFont="1" applyFill="1" applyBorder="1" applyAlignment="1">
      <alignment horizontal="center" vertical="center"/>
    </xf>
    <xf numFmtId="167" fontId="25" fillId="18" borderId="8" xfId="0" applyNumberFormat="1" applyFont="1" applyFill="1" applyBorder="1" applyAlignment="1">
      <alignment horizontal="center" vertical="center"/>
    </xf>
    <xf numFmtId="0" fontId="25" fillId="12" borderId="0" xfId="2" applyFont="1" applyFill="1" applyBorder="1" applyAlignment="1">
      <alignment horizontal="center" vertical="center" wrapText="1"/>
    </xf>
    <xf numFmtId="172" fontId="25" fillId="0" borderId="14" xfId="0" applyNumberFormat="1" applyFont="1" applyFill="1" applyBorder="1" applyAlignment="1">
      <alignment horizontal="center" vertical="center"/>
    </xf>
    <xf numFmtId="172" fontId="25" fillId="0" borderId="26" xfId="0" applyNumberFormat="1" applyFont="1" applyFill="1" applyBorder="1" applyAlignment="1">
      <alignment horizontal="center" vertical="center"/>
    </xf>
    <xf numFmtId="172" fontId="25" fillId="0" borderId="13" xfId="0" applyNumberFormat="1" applyFont="1" applyFill="1" applyBorder="1" applyAlignment="1">
      <alignment horizontal="center" vertical="center"/>
    </xf>
    <xf numFmtId="15" fontId="26" fillId="12" borderId="42" xfId="2" applyNumberFormat="1" applyFont="1" applyFill="1" applyBorder="1" applyAlignment="1">
      <alignment horizontal="center" vertical="center" wrapText="1"/>
    </xf>
    <xf numFmtId="15" fontId="26" fillId="12" borderId="29" xfId="2" applyNumberFormat="1" applyFont="1" applyFill="1" applyBorder="1" applyAlignment="1">
      <alignment horizontal="center" vertical="center" wrapText="1"/>
    </xf>
    <xf numFmtId="15" fontId="25" fillId="0" borderId="7" xfId="0" applyNumberFormat="1" applyFont="1" applyFill="1" applyBorder="1" applyAlignment="1">
      <alignment horizontal="center" vertical="center"/>
    </xf>
    <xf numFmtId="15" fontId="25" fillId="0" borderId="26" xfId="0" applyNumberFormat="1" applyFont="1" applyFill="1" applyBorder="1" applyAlignment="1">
      <alignment horizontal="center" vertical="center"/>
    </xf>
    <xf numFmtId="15" fontId="25" fillId="0" borderId="23" xfId="0" applyNumberFormat="1" applyFont="1" applyFill="1" applyBorder="1" applyAlignment="1">
      <alignment horizontal="center" vertical="center"/>
    </xf>
    <xf numFmtId="15" fontId="25" fillId="0" borderId="24" xfId="0" applyNumberFormat="1" applyFont="1" applyFill="1" applyBorder="1" applyAlignment="1">
      <alignment horizontal="center" vertical="center"/>
    </xf>
    <xf numFmtId="15" fontId="25" fillId="0" borderId="10" xfId="0" applyNumberFormat="1" applyFont="1" applyFill="1" applyBorder="1" applyAlignment="1">
      <alignment horizontal="center" vertical="center"/>
    </xf>
    <xf numFmtId="15" fontId="25" fillId="0" borderId="4" xfId="0" applyNumberFormat="1" applyFont="1" applyFill="1" applyBorder="1" applyAlignment="1">
      <alignment horizontal="center" vertical="center"/>
    </xf>
    <xf numFmtId="167" fontId="25" fillId="0" borderId="14" xfId="0" applyNumberFormat="1" applyFont="1" applyFill="1" applyBorder="1" applyAlignment="1">
      <alignment horizontal="right" vertical="center"/>
    </xf>
    <xf numFmtId="167" fontId="25" fillId="0" borderId="5" xfId="0" applyNumberFormat="1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43" xfId="2" applyFont="1" applyFill="1" applyBorder="1" applyAlignment="1">
      <alignment horizontal="center" vertical="center" wrapText="1"/>
    </xf>
    <xf numFmtId="0" fontId="25" fillId="0" borderId="31" xfId="2" applyFont="1" applyFill="1" applyBorder="1" applyAlignment="1">
      <alignment horizontal="center" vertical="center" wrapText="1"/>
    </xf>
    <xf numFmtId="14" fontId="26" fillId="0" borderId="0" xfId="2" applyNumberFormat="1" applyFont="1" applyFill="1" applyBorder="1" applyAlignment="1">
      <alignment horizontal="center" vertical="center"/>
    </xf>
    <xf numFmtId="0" fontId="25" fillId="0" borderId="14" xfId="2" applyFont="1" applyFill="1" applyBorder="1" applyAlignment="1">
      <alignment horizontal="center" vertical="center"/>
    </xf>
    <xf numFmtId="0" fontId="25" fillId="0" borderId="12" xfId="2" applyFont="1" applyFill="1" applyBorder="1" applyAlignment="1">
      <alignment horizontal="center" vertical="center"/>
    </xf>
    <xf numFmtId="15" fontId="25" fillId="0" borderId="7" xfId="2" applyNumberFormat="1" applyFont="1" applyFill="1" applyBorder="1" applyAlignment="1">
      <alignment horizontal="center" vertical="center"/>
    </xf>
    <xf numFmtId="15" fontId="25" fillId="0" borderId="8" xfId="2" applyNumberFormat="1" applyFont="1" applyFill="1" applyBorder="1" applyAlignment="1">
      <alignment horizontal="center" vertical="center"/>
    </xf>
    <xf numFmtId="0" fontId="25" fillId="0" borderId="5" xfId="2" applyFont="1" applyFill="1" applyBorder="1" applyAlignment="1">
      <alignment horizontal="center" vertical="center"/>
    </xf>
    <xf numFmtId="0" fontId="25" fillId="0" borderId="6" xfId="2" applyFont="1" applyFill="1" applyBorder="1" applyAlignment="1">
      <alignment horizontal="center" vertical="center"/>
    </xf>
    <xf numFmtId="49" fontId="25" fillId="0" borderId="0" xfId="2" applyNumberFormat="1" applyFont="1" applyFill="1" applyAlignment="1">
      <alignment horizontal="center" vertical="center" wrapText="1"/>
    </xf>
    <xf numFmtId="49" fontId="26" fillId="17" borderId="14" xfId="2" applyNumberFormat="1" applyFont="1" applyFill="1" applyBorder="1" applyAlignment="1">
      <alignment horizontal="center" vertical="center" wrapText="1"/>
    </xf>
    <xf numFmtId="49" fontId="26" fillId="17" borderId="56" xfId="2" applyNumberFormat="1" applyFont="1" applyFill="1" applyBorder="1" applyAlignment="1">
      <alignment horizontal="center" vertical="center" wrapText="1"/>
    </xf>
    <xf numFmtId="49" fontId="26" fillId="17" borderId="12" xfId="2" applyNumberFormat="1" applyFont="1" applyFill="1" applyBorder="1" applyAlignment="1">
      <alignment horizontal="center" vertical="center" wrapText="1"/>
    </xf>
    <xf numFmtId="0" fontId="26" fillId="17" borderId="9" xfId="2" applyFont="1" applyFill="1" applyBorder="1" applyAlignment="1">
      <alignment horizontal="center" vertical="center"/>
    </xf>
    <xf numFmtId="0" fontId="26" fillId="17" borderId="7" xfId="2" applyFont="1" applyFill="1" applyBorder="1" applyAlignment="1">
      <alignment horizontal="center" vertical="center"/>
    </xf>
    <xf numFmtId="0" fontId="26" fillId="17" borderId="15" xfId="2" applyFont="1" applyFill="1" applyBorder="1" applyAlignment="1">
      <alignment horizontal="center" vertical="center"/>
    </xf>
    <xf numFmtId="0" fontId="26" fillId="17" borderId="26" xfId="2" applyFont="1" applyFill="1" applyBorder="1" applyAlignment="1">
      <alignment horizontal="center" vertical="center"/>
    </xf>
    <xf numFmtId="0" fontId="26" fillId="17" borderId="13" xfId="2" applyFont="1" applyFill="1" applyBorder="1" applyAlignment="1">
      <alignment horizontal="center" vertical="center"/>
    </xf>
    <xf numFmtId="0" fontId="26" fillId="17" borderId="27" xfId="2" applyFont="1" applyFill="1" applyBorder="1" applyAlignment="1">
      <alignment horizontal="center" vertical="center"/>
    </xf>
    <xf numFmtId="0" fontId="26" fillId="17" borderId="34" xfId="2" applyFont="1" applyFill="1" applyBorder="1" applyAlignment="1">
      <alignment horizontal="center" vertical="center"/>
    </xf>
    <xf numFmtId="0" fontId="25" fillId="0" borderId="14" xfId="2" applyFont="1" applyFill="1" applyBorder="1" applyAlignment="1">
      <alignment horizontal="center"/>
    </xf>
    <xf numFmtId="0" fontId="25" fillId="0" borderId="12" xfId="2" applyFont="1" applyFill="1" applyBorder="1" applyAlignment="1">
      <alignment horizontal="center"/>
    </xf>
    <xf numFmtId="3" fontId="25" fillId="0" borderId="5" xfId="2" applyNumberFormat="1" applyFont="1" applyFill="1" applyBorder="1" applyAlignment="1">
      <alignment horizontal="center" vertical="center"/>
    </xf>
    <xf numFmtId="3" fontId="25" fillId="0" borderId="6" xfId="2" applyNumberFormat="1" applyFont="1" applyFill="1" applyBorder="1" applyAlignment="1">
      <alignment horizontal="center" vertical="center"/>
    </xf>
    <xf numFmtId="15" fontId="25" fillId="12" borderId="7" xfId="0" applyNumberFormat="1" applyFont="1" applyFill="1" applyBorder="1" applyAlignment="1">
      <alignment horizontal="center" vertical="center"/>
    </xf>
    <xf numFmtId="15" fontId="25" fillId="12" borderId="23" xfId="0" applyNumberFormat="1" applyFont="1" applyFill="1" applyBorder="1" applyAlignment="1">
      <alignment horizontal="center" vertical="center"/>
    </xf>
    <xf numFmtId="15" fontId="25" fillId="12" borderId="24" xfId="0" applyNumberFormat="1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 vertical="center"/>
    </xf>
    <xf numFmtId="0" fontId="26" fillId="17" borderId="23" xfId="2" applyFont="1" applyFill="1" applyBorder="1" applyAlignment="1">
      <alignment horizontal="center" vertical="center"/>
    </xf>
    <xf numFmtId="0" fontId="26" fillId="17" borderId="8" xfId="2" applyFont="1" applyFill="1" applyBorder="1" applyAlignment="1">
      <alignment horizontal="center" vertical="center"/>
    </xf>
    <xf numFmtId="49" fontId="26" fillId="17" borderId="37" xfId="2" applyNumberFormat="1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center" vertical="center"/>
    </xf>
    <xf numFmtId="15" fontId="25" fillId="0" borderId="16" xfId="0" applyNumberFormat="1" applyFont="1" applyFill="1" applyBorder="1" applyAlignment="1">
      <alignment horizontal="center" vertical="center"/>
    </xf>
    <xf numFmtId="15" fontId="25" fillId="0" borderId="63" xfId="0" applyNumberFormat="1" applyFont="1" applyFill="1" applyBorder="1" applyAlignment="1">
      <alignment horizontal="center" vertical="center"/>
    </xf>
    <xf numFmtId="15" fontId="25" fillId="0" borderId="18" xfId="0" applyNumberFormat="1" applyFont="1" applyFill="1" applyBorder="1" applyAlignment="1">
      <alignment horizontal="center" vertical="center"/>
    </xf>
    <xf numFmtId="178" fontId="25" fillId="12" borderId="14" xfId="0" applyNumberFormat="1" applyFont="1" applyFill="1" applyBorder="1" applyAlignment="1">
      <alignment horizontal="center" vertical="center"/>
    </xf>
    <xf numFmtId="178" fontId="25" fillId="12" borderId="12" xfId="0" applyNumberFormat="1" applyFont="1" applyFill="1" applyBorder="1" applyAlignment="1">
      <alignment horizontal="center" vertical="center"/>
    </xf>
    <xf numFmtId="178" fontId="25" fillId="12" borderId="5" xfId="0" applyNumberFormat="1" applyFont="1" applyFill="1" applyBorder="1" applyAlignment="1">
      <alignment horizontal="center" vertical="center"/>
    </xf>
    <xf numFmtId="178" fontId="25" fillId="12" borderId="6" xfId="0" applyNumberFormat="1" applyFont="1" applyFill="1" applyBorder="1" applyAlignment="1">
      <alignment horizontal="center" vertical="center"/>
    </xf>
    <xf numFmtId="0" fontId="27" fillId="17" borderId="61" xfId="0" applyFont="1" applyFill="1" applyBorder="1" applyAlignment="1">
      <alignment horizontal="center"/>
    </xf>
    <xf numFmtId="0" fontId="27" fillId="17" borderId="62" xfId="0" applyFont="1" applyFill="1" applyBorder="1" applyAlignment="1">
      <alignment horizontal="center"/>
    </xf>
    <xf numFmtId="0" fontId="27" fillId="17" borderId="76" xfId="0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horizontal="left" vertical="center" wrapText="1"/>
    </xf>
    <xf numFmtId="15" fontId="25" fillId="0" borderId="14" xfId="0" applyNumberFormat="1" applyFont="1" applyFill="1" applyBorder="1" applyAlignment="1">
      <alignment horizontal="center" vertical="center"/>
    </xf>
    <xf numFmtId="15" fontId="25" fillId="0" borderId="13" xfId="0" applyNumberFormat="1" applyFont="1" applyFill="1" applyBorder="1" applyAlignment="1">
      <alignment horizontal="center" vertical="center"/>
    </xf>
    <xf numFmtId="15" fontId="25" fillId="0" borderId="5" xfId="0" applyNumberFormat="1" applyFont="1" applyFill="1" applyBorder="1" applyAlignment="1">
      <alignment horizontal="center" vertical="center"/>
    </xf>
    <xf numFmtId="15" fontId="25" fillId="0" borderId="11" xfId="0" applyNumberFormat="1" applyFont="1" applyFill="1" applyBorder="1" applyAlignment="1">
      <alignment horizontal="center" vertical="center"/>
    </xf>
    <xf numFmtId="15" fontId="25" fillId="0" borderId="25" xfId="0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5" fillId="0" borderId="0" xfId="2" applyFont="1" applyFill="1" applyAlignment="1">
      <alignment horizontal="left" vertical="center"/>
    </xf>
    <xf numFmtId="166" fontId="25" fillId="3" borderId="14" xfId="0" applyNumberFormat="1" applyFont="1" applyFill="1" applyBorder="1" applyAlignment="1">
      <alignment horizontal="center" vertical="center"/>
    </xf>
    <xf numFmtId="166" fontId="25" fillId="3" borderId="12" xfId="0" applyNumberFormat="1" applyFont="1" applyFill="1" applyBorder="1" applyAlignment="1">
      <alignment horizontal="center" vertical="center"/>
    </xf>
    <xf numFmtId="166" fontId="25" fillId="3" borderId="5" xfId="0" applyNumberFormat="1" applyFont="1" applyFill="1" applyBorder="1" applyAlignment="1">
      <alignment horizontal="center" vertical="center"/>
    </xf>
    <xf numFmtId="166" fontId="25" fillId="3" borderId="6" xfId="0" applyNumberFormat="1" applyFont="1" applyFill="1" applyBorder="1" applyAlignment="1">
      <alignment horizontal="center" vertical="center"/>
    </xf>
    <xf numFmtId="0" fontId="27" fillId="17" borderId="30" xfId="0" applyFont="1" applyFill="1" applyBorder="1" applyAlignment="1">
      <alignment horizontal="center"/>
    </xf>
    <xf numFmtId="0" fontId="27" fillId="17" borderId="11" xfId="0" applyFont="1" applyFill="1" applyBorder="1" applyAlignment="1">
      <alignment horizontal="center"/>
    </xf>
    <xf numFmtId="0" fontId="27" fillId="17" borderId="25" xfId="0" applyFont="1" applyFill="1" applyBorder="1" applyAlignment="1">
      <alignment horizontal="center"/>
    </xf>
    <xf numFmtId="2" fontId="25" fillId="0" borderId="14" xfId="2" applyNumberFormat="1" applyFont="1" applyFill="1" applyBorder="1" applyAlignment="1">
      <alignment horizontal="center" vertical="center"/>
    </xf>
    <xf numFmtId="2" fontId="25" fillId="0" borderId="14" xfId="2" applyNumberFormat="1" applyFont="1" applyFill="1" applyBorder="1" applyAlignment="1">
      <alignment horizontal="center"/>
    </xf>
    <xf numFmtId="0" fontId="25" fillId="12" borderId="14" xfId="2" applyFont="1" applyFill="1" applyBorder="1" applyAlignment="1">
      <alignment horizontal="center" vertical="center" wrapText="1"/>
    </xf>
    <xf numFmtId="0" fontId="25" fillId="12" borderId="26" xfId="2" applyFont="1" applyFill="1" applyBorder="1" applyAlignment="1">
      <alignment horizontal="center" vertical="center" wrapText="1"/>
    </xf>
    <xf numFmtId="0" fontId="25" fillId="12" borderId="13" xfId="2" applyFont="1" applyFill="1" applyBorder="1" applyAlignment="1">
      <alignment horizontal="center" vertical="center" wrapText="1"/>
    </xf>
    <xf numFmtId="0" fontId="25" fillId="12" borderId="56" xfId="2" applyFont="1" applyFill="1" applyBorder="1" applyAlignment="1">
      <alignment horizontal="center" vertical="center" wrapText="1"/>
    </xf>
    <xf numFmtId="0" fontId="25" fillId="12" borderId="27" xfId="2" applyFont="1" applyFill="1" applyBorder="1" applyAlignment="1">
      <alignment horizontal="center" vertical="center" wrapText="1"/>
    </xf>
    <xf numFmtId="0" fontId="25" fillId="12" borderId="34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15" fontId="25" fillId="0" borderId="7" xfId="0" applyNumberFormat="1" applyFont="1" applyFill="1" applyBorder="1" applyAlignment="1">
      <alignment horizontal="left" vertical="center" wrapText="1"/>
    </xf>
    <xf numFmtId="15" fontId="25" fillId="0" borderId="23" xfId="0" applyNumberFormat="1" applyFont="1" applyFill="1" applyBorder="1" applyAlignment="1">
      <alignment horizontal="left" vertical="center" wrapText="1"/>
    </xf>
    <xf numFmtId="15" fontId="25" fillId="0" borderId="24" xfId="0" applyNumberFormat="1" applyFont="1" applyFill="1" applyBorder="1" applyAlignment="1">
      <alignment horizontal="left" vertical="center" wrapText="1"/>
    </xf>
    <xf numFmtId="15" fontId="25" fillId="12" borderId="16" xfId="0" applyNumberFormat="1" applyFont="1" applyFill="1" applyBorder="1" applyAlignment="1">
      <alignment horizontal="center" vertical="center"/>
    </xf>
    <xf numFmtId="15" fontId="25" fillId="12" borderId="63" xfId="0" applyNumberFormat="1" applyFont="1" applyFill="1" applyBorder="1" applyAlignment="1">
      <alignment horizontal="center" vertical="center"/>
    </xf>
    <xf numFmtId="15" fontId="25" fillId="12" borderId="18" xfId="0" applyNumberFormat="1" applyFont="1" applyFill="1" applyBorder="1" applyAlignment="1">
      <alignment horizontal="center" vertical="center"/>
    </xf>
    <xf numFmtId="15" fontId="1" fillId="0" borderId="10" xfId="0" applyNumberFormat="1" applyFont="1" applyFill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center" vertical="center"/>
    </xf>
    <xf numFmtId="169" fontId="1" fillId="0" borderId="14" xfId="0" applyNumberFormat="1" applyFont="1" applyFill="1" applyBorder="1" applyAlignment="1">
      <alignment horizontal="right" vertical="center"/>
    </xf>
    <xf numFmtId="169" fontId="1" fillId="0" borderId="5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67" fontId="1" fillId="0" borderId="14" xfId="0" applyNumberFormat="1" applyFont="1" applyFill="1" applyBorder="1" applyAlignment="1">
      <alignment horizontal="right" vertical="center"/>
    </xf>
    <xf numFmtId="167" fontId="1" fillId="0" borderId="5" xfId="0" applyNumberFormat="1" applyFont="1" applyFill="1" applyBorder="1" applyAlignment="1">
      <alignment horizontal="right" vertical="center"/>
    </xf>
    <xf numFmtId="1" fontId="1" fillId="0" borderId="36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1" fontId="1" fillId="0" borderId="36" xfId="0" applyNumberFormat="1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15" fontId="1" fillId="0" borderId="36" xfId="0" applyNumberFormat="1" applyFont="1" applyFill="1" applyBorder="1" applyAlignment="1">
      <alignment horizontal="center" vertical="center"/>
    </xf>
    <xf numFmtId="169" fontId="1" fillId="0" borderId="19" xfId="0" applyNumberFormat="1" applyFont="1" applyFill="1" applyBorder="1" applyAlignment="1">
      <alignment horizontal="right" vertical="center"/>
    </xf>
    <xf numFmtId="1" fontId="1" fillId="17" borderId="36" xfId="0" applyNumberFormat="1" applyFont="1" applyFill="1" applyBorder="1" applyAlignment="1">
      <alignment horizontal="left" vertical="center"/>
    </xf>
    <xf numFmtId="1" fontId="1" fillId="17" borderId="55" xfId="0" applyNumberFormat="1" applyFont="1" applyFill="1" applyBorder="1" applyAlignment="1">
      <alignment horizontal="left" vertical="center"/>
    </xf>
    <xf numFmtId="15" fontId="1" fillId="17" borderId="10" xfId="0" applyNumberFormat="1" applyFont="1" applyFill="1" applyBorder="1" applyAlignment="1">
      <alignment horizontal="center" vertical="center"/>
    </xf>
    <xf numFmtId="15" fontId="1" fillId="17" borderId="55" xfId="0" applyNumberFormat="1" applyFont="1" applyFill="1" applyBorder="1" applyAlignment="1">
      <alignment horizontal="center" vertical="center"/>
    </xf>
    <xf numFmtId="169" fontId="1" fillId="17" borderId="14" xfId="0" applyNumberFormat="1" applyFont="1" applyFill="1" applyBorder="1" applyAlignment="1">
      <alignment horizontal="right" vertical="center"/>
    </xf>
    <xf numFmtId="169" fontId="1" fillId="17" borderId="56" xfId="0" applyNumberFormat="1" applyFont="1" applyFill="1" applyBorder="1" applyAlignment="1">
      <alignment horizontal="right" vertical="center"/>
    </xf>
    <xf numFmtId="0" fontId="1" fillId="17" borderId="12" xfId="0" applyFont="1" applyFill="1" applyBorder="1" applyAlignment="1">
      <alignment horizontal="center" vertical="center"/>
    </xf>
    <xf numFmtId="0" fontId="1" fillId="17" borderId="69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left" vertical="center" wrapText="1"/>
    </xf>
    <xf numFmtId="3" fontId="1" fillId="0" borderId="36" xfId="0" applyNumberFormat="1" applyFont="1" applyFill="1" applyBorder="1" applyAlignment="1">
      <alignment horizontal="center" vertical="center"/>
    </xf>
    <xf numFmtId="1" fontId="1" fillId="17" borderId="36" xfId="0" applyNumberFormat="1" applyFont="1" applyFill="1" applyBorder="1" applyAlignment="1">
      <alignment horizontal="left" vertical="center" wrapText="1"/>
    </xf>
    <xf numFmtId="1" fontId="1" fillId="17" borderId="55" xfId="0" applyNumberFormat="1" applyFont="1" applyFill="1" applyBorder="1" applyAlignment="1">
      <alignment horizontal="left" vertical="center" wrapText="1"/>
    </xf>
    <xf numFmtId="3" fontId="1" fillId="17" borderId="36" xfId="0" applyNumberFormat="1" applyFont="1" applyFill="1" applyBorder="1" applyAlignment="1">
      <alignment horizontal="center" vertical="center"/>
    </xf>
    <xf numFmtId="3" fontId="1" fillId="17" borderId="55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17" borderId="36" xfId="0" applyNumberFormat="1" applyFont="1" applyFill="1" applyBorder="1" applyAlignment="1">
      <alignment horizontal="center" vertical="center"/>
    </xf>
    <xf numFmtId="49" fontId="1" fillId="17" borderId="55" xfId="0" applyNumberFormat="1" applyFont="1" applyFill="1" applyBorder="1" applyAlignment="1">
      <alignment horizontal="center" vertical="center"/>
    </xf>
    <xf numFmtId="15" fontId="1" fillId="17" borderId="36" xfId="0" applyNumberFormat="1" applyFont="1" applyFill="1" applyBorder="1" applyAlignment="1">
      <alignment horizontal="center" vertical="center"/>
    </xf>
    <xf numFmtId="169" fontId="1" fillId="17" borderId="19" xfId="0" applyNumberFormat="1" applyFont="1" applyFill="1" applyBorder="1" applyAlignment="1">
      <alignment horizontal="right" vertical="center"/>
    </xf>
    <xf numFmtId="0" fontId="1" fillId="17" borderId="20" xfId="0" applyFont="1" applyFill="1" applyBorder="1" applyAlignment="1">
      <alignment horizontal="left" vertical="center"/>
    </xf>
    <xf numFmtId="0" fontId="1" fillId="17" borderId="69" xfId="0" applyFont="1" applyFill="1" applyBorder="1" applyAlignment="1">
      <alignment horizontal="left" vertical="center"/>
    </xf>
    <xf numFmtId="15" fontId="1" fillId="12" borderId="10" xfId="0" applyNumberFormat="1" applyFont="1" applyFill="1" applyBorder="1" applyAlignment="1">
      <alignment horizontal="center" vertical="center"/>
    </xf>
    <xf numFmtId="15" fontId="1" fillId="12" borderId="4" xfId="0" applyNumberFormat="1" applyFont="1" applyFill="1" applyBorder="1" applyAlignment="1">
      <alignment horizontal="center" vertical="center"/>
    </xf>
    <xf numFmtId="169" fontId="1" fillId="12" borderId="14" xfId="0" applyNumberFormat="1" applyFont="1" applyFill="1" applyBorder="1" applyAlignment="1">
      <alignment horizontal="right" vertical="center"/>
    </xf>
    <xf numFmtId="169" fontId="1" fillId="12" borderId="5" xfId="0" applyNumberFormat="1" applyFont="1" applyFill="1" applyBorder="1" applyAlignment="1">
      <alignment horizontal="right" vertical="center"/>
    </xf>
    <xf numFmtId="0" fontId="1" fillId="12" borderId="12" xfId="0" applyFont="1" applyFill="1" applyBorder="1" applyAlignment="1">
      <alignment horizontal="left" vertical="center"/>
    </xf>
    <xf numFmtId="0" fontId="1" fillId="12" borderId="6" xfId="0" applyFont="1" applyFill="1" applyBorder="1" applyAlignment="1">
      <alignment horizontal="left" vertical="center"/>
    </xf>
    <xf numFmtId="167" fontId="1" fillId="12" borderId="14" xfId="0" applyNumberFormat="1" applyFont="1" applyFill="1" applyBorder="1" applyAlignment="1">
      <alignment horizontal="right" vertical="center"/>
    </xf>
    <xf numFmtId="167" fontId="1" fillId="12" borderId="5" xfId="0" applyNumberFormat="1" applyFont="1" applyFill="1" applyBorder="1" applyAlignment="1">
      <alignment horizontal="right" vertical="center"/>
    </xf>
    <xf numFmtId="1" fontId="1" fillId="0" borderId="2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31" fillId="17" borderId="84" xfId="0" applyFont="1" applyFill="1" applyBorder="1" applyAlignment="1">
      <alignment horizontal="center" vertical="center"/>
    </xf>
    <xf numFmtId="0" fontId="31" fillId="17" borderId="85" xfId="0" applyFont="1" applyFill="1" applyBorder="1" applyAlignment="1">
      <alignment horizontal="center" vertical="center"/>
    </xf>
    <xf numFmtId="0" fontId="31" fillId="17" borderId="72" xfId="0" applyFont="1" applyFill="1" applyBorder="1" applyAlignment="1">
      <alignment horizontal="center" vertical="center"/>
    </xf>
    <xf numFmtId="1" fontId="1" fillId="12" borderId="10" xfId="0" applyNumberFormat="1" applyFont="1" applyFill="1" applyBorder="1" applyAlignment="1">
      <alignment horizontal="left" vertical="center" wrapText="1"/>
    </xf>
    <xf numFmtId="1" fontId="1" fillId="12" borderId="36" xfId="0" applyNumberFormat="1" applyFont="1" applyFill="1" applyBorder="1" applyAlignment="1">
      <alignment horizontal="left" vertical="center" wrapText="1"/>
    </xf>
    <xf numFmtId="49" fontId="1" fillId="12" borderId="10" xfId="0" applyNumberFormat="1" applyFont="1" applyFill="1" applyBorder="1" applyAlignment="1">
      <alignment horizontal="center" vertical="center" wrapText="1"/>
    </xf>
    <xf numFmtId="49" fontId="1" fillId="12" borderId="36" xfId="0" applyNumberFormat="1" applyFont="1" applyFill="1" applyBorder="1" applyAlignment="1">
      <alignment horizontal="center" vertical="center" wrapText="1"/>
    </xf>
    <xf numFmtId="0" fontId="31" fillId="17" borderId="45" xfId="0" applyFont="1" applyFill="1" applyBorder="1" applyAlignment="1">
      <alignment horizontal="center" vertical="center"/>
    </xf>
    <xf numFmtId="0" fontId="31" fillId="17" borderId="26" xfId="0" applyFont="1" applyFill="1" applyBorder="1" applyAlignment="1">
      <alignment horizontal="center" vertical="center"/>
    </xf>
    <xf numFmtId="0" fontId="31" fillId="17" borderId="10" xfId="0" applyFont="1" applyFill="1" applyBorder="1" applyAlignment="1">
      <alignment horizontal="center" vertical="center"/>
    </xf>
    <xf numFmtId="0" fontId="0" fillId="17" borderId="10" xfId="0" applyFill="1" applyBorder="1"/>
    <xf numFmtId="0" fontId="31" fillId="17" borderId="33" xfId="0" applyFont="1" applyFill="1" applyBorder="1" applyAlignment="1">
      <alignment horizontal="center" vertical="center"/>
    </xf>
    <xf numFmtId="0" fontId="31" fillId="17" borderId="27" xfId="0" applyFont="1" applyFill="1" applyBorder="1" applyAlignment="1">
      <alignment horizontal="center" vertical="center"/>
    </xf>
    <xf numFmtId="0" fontId="31" fillId="17" borderId="36" xfId="0" applyFont="1" applyFill="1" applyBorder="1" applyAlignment="1">
      <alignment horizontal="center" vertical="center"/>
    </xf>
    <xf numFmtId="0" fontId="31" fillId="17" borderId="77" xfId="0" applyFont="1" applyFill="1" applyBorder="1" applyAlignment="1">
      <alignment horizontal="center" vertical="center"/>
    </xf>
    <xf numFmtId="0" fontId="31" fillId="17" borderId="74" xfId="0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1" fontId="1" fillId="20" borderId="4" xfId="0" applyNumberFormat="1" applyFont="1" applyFill="1" applyBorder="1" applyAlignment="1">
      <alignment horizontal="left" vertical="center" wrapText="1"/>
    </xf>
    <xf numFmtId="1" fontId="1" fillId="12" borderId="4" xfId="0" applyNumberFormat="1" applyFont="1" applyFill="1" applyBorder="1" applyAlignment="1">
      <alignment horizontal="left" vertical="center" wrapText="1"/>
    </xf>
    <xf numFmtId="49" fontId="1" fillId="12" borderId="2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" fontId="1" fillId="12" borderId="10" xfId="0" applyNumberFormat="1" applyFont="1" applyFill="1" applyBorder="1" applyAlignment="1">
      <alignment horizontal="left" vertical="center"/>
    </xf>
    <xf numFmtId="1" fontId="1" fillId="12" borderId="4" xfId="0" applyNumberFormat="1" applyFont="1" applyFill="1" applyBorder="1" applyAlignment="1">
      <alignment horizontal="left" vertical="center"/>
    </xf>
    <xf numFmtId="49" fontId="1" fillId="12" borderId="10" xfId="0" applyNumberFormat="1" applyFont="1" applyFill="1" applyBorder="1" applyAlignment="1">
      <alignment horizontal="left" vertical="center"/>
    </xf>
    <xf numFmtId="49" fontId="1" fillId="12" borderId="4" xfId="0" applyNumberFormat="1" applyFont="1" applyFill="1" applyBorder="1" applyAlignment="1">
      <alignment horizontal="left" vertical="center"/>
    </xf>
    <xf numFmtId="49" fontId="1" fillId="12" borderId="10" xfId="0" applyNumberFormat="1" applyFont="1" applyFill="1" applyBorder="1" applyAlignment="1">
      <alignment horizontal="center" vertical="center"/>
    </xf>
    <xf numFmtId="49" fontId="1" fillId="12" borderId="4" xfId="0" applyNumberFormat="1" applyFont="1" applyFill="1" applyBorder="1" applyAlignment="1">
      <alignment horizontal="center" vertical="center"/>
    </xf>
    <xf numFmtId="169" fontId="1" fillId="0" borderId="14" xfId="0" applyNumberFormat="1" applyFont="1" applyFill="1" applyBorder="1" applyAlignment="1">
      <alignment horizontal="center" vertical="center"/>
    </xf>
    <xf numFmtId="169" fontId="1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1" fillId="20" borderId="4" xfId="0" applyNumberFormat="1" applyFont="1" applyFill="1" applyBorder="1" applyAlignment="1">
      <alignment horizontal="left" vertical="center"/>
    </xf>
    <xf numFmtId="49" fontId="1" fillId="20" borderId="4" xfId="0" applyNumberFormat="1" applyFont="1" applyFill="1" applyBorder="1" applyAlignment="1">
      <alignment horizontal="center" vertical="center"/>
    </xf>
    <xf numFmtId="3" fontId="1" fillId="12" borderId="10" xfId="0" applyNumberFormat="1" applyFont="1" applyFill="1" applyBorder="1" applyAlignment="1">
      <alignment horizontal="center" vertical="center"/>
    </xf>
    <xf numFmtId="3" fontId="1" fillId="12" borderId="4" xfId="0" applyNumberFormat="1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 wrapText="1"/>
    </xf>
    <xf numFmtId="0" fontId="31" fillId="0" borderId="62" xfId="0" applyFont="1" applyFill="1" applyBorder="1" applyAlignment="1">
      <alignment horizontal="center" vertical="center" wrapText="1"/>
    </xf>
    <xf numFmtId="0" fontId="31" fillId="0" borderId="76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right" vertical="center" wrapText="1"/>
    </xf>
    <xf numFmtId="0" fontId="31" fillId="0" borderId="19" xfId="0" applyFont="1" applyFill="1" applyBorder="1" applyAlignment="1">
      <alignment horizontal="right" vertical="center" wrapText="1"/>
    </xf>
    <xf numFmtId="15" fontId="31" fillId="0" borderId="1" xfId="0" applyNumberFormat="1" applyFont="1" applyFill="1" applyBorder="1" applyAlignment="1">
      <alignment horizontal="center" vertical="center" wrapText="1"/>
    </xf>
    <xf numFmtId="15" fontId="31" fillId="0" borderId="10" xfId="0" applyNumberFormat="1" applyFont="1" applyFill="1" applyBorder="1" applyAlignment="1">
      <alignment horizontal="center" vertical="center" wrapText="1"/>
    </xf>
    <xf numFmtId="49" fontId="31" fillId="0" borderId="60" xfId="0" applyNumberFormat="1" applyFont="1" applyFill="1" applyBorder="1" applyAlignment="1">
      <alignment horizontal="center" vertical="center" wrapText="1"/>
    </xf>
    <xf numFmtId="49" fontId="31" fillId="0" borderId="42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4" fontId="31" fillId="0" borderId="51" xfId="0" applyNumberFormat="1" applyFont="1" applyFill="1" applyBorder="1" applyAlignment="1">
      <alignment horizontal="center" vertical="center" wrapText="1"/>
    </xf>
    <xf numFmtId="164" fontId="31" fillId="0" borderId="36" xfId="0" applyNumberFormat="1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170" fontId="1" fillId="0" borderId="42" xfId="0" applyNumberFormat="1" applyFont="1" applyFill="1" applyBorder="1" applyAlignment="1">
      <alignment horizontal="right" vertical="center" wrapText="1"/>
    </xf>
    <xf numFmtId="170" fontId="1" fillId="0" borderId="29" xfId="0" applyNumberFormat="1" applyFont="1" applyFill="1" applyBorder="1" applyAlignment="1">
      <alignment horizontal="right" vertical="center" wrapText="1"/>
    </xf>
    <xf numFmtId="15" fontId="1" fillId="0" borderId="10" xfId="0" applyNumberFormat="1" applyFont="1" applyFill="1" applyBorder="1" applyAlignment="1">
      <alignment horizontal="center" vertical="center" wrapText="1"/>
    </xf>
    <xf numFmtId="15" fontId="1" fillId="0" borderId="4" xfId="0" applyNumberFormat="1" applyFont="1" applyFill="1" applyBorder="1" applyAlignment="1">
      <alignment horizontal="center" vertical="center" wrapText="1"/>
    </xf>
    <xf numFmtId="164" fontId="1" fillId="0" borderId="42" xfId="0" applyNumberFormat="1" applyFont="1" applyFill="1" applyBorder="1" applyAlignment="1">
      <alignment horizontal="left" vertical="center" wrapText="1"/>
    </xf>
    <xf numFmtId="164" fontId="1" fillId="0" borderId="29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5" fontId="1" fillId="0" borderId="10" xfId="0" applyNumberFormat="1" applyFont="1" applyFill="1" applyBorder="1" applyAlignment="1">
      <alignment horizontal="left" vertical="center" wrapText="1"/>
    </xf>
    <xf numFmtId="15" fontId="1" fillId="0" borderId="4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32" fillId="0" borderId="43" xfId="0" applyNumberFormat="1" applyFont="1" applyFill="1" applyBorder="1" applyAlignment="1">
      <alignment horizontal="center" vertical="center" wrapText="1"/>
    </xf>
    <xf numFmtId="14" fontId="32" fillId="0" borderId="31" xfId="0" applyNumberFormat="1" applyFont="1" applyFill="1" applyBorder="1" applyAlignment="1">
      <alignment horizontal="center" vertical="center" wrapText="1"/>
    </xf>
    <xf numFmtId="49" fontId="31" fillId="9" borderId="60" xfId="0" applyNumberFormat="1" applyFont="1" applyFill="1" applyBorder="1" applyAlignment="1">
      <alignment horizontal="center" vertical="center" wrapText="1"/>
    </xf>
    <xf numFmtId="49" fontId="31" fillId="9" borderId="42" xfId="0" applyNumberFormat="1" applyFont="1" applyFill="1" applyBorder="1" applyAlignment="1">
      <alignment horizontal="center" vertical="center" wrapText="1"/>
    </xf>
    <xf numFmtId="15" fontId="31" fillId="9" borderId="1" xfId="0" applyNumberFormat="1" applyFont="1" applyFill="1" applyBorder="1" applyAlignment="1">
      <alignment horizontal="center" vertical="center" wrapText="1"/>
    </xf>
    <xf numFmtId="15" fontId="31" fillId="9" borderId="10" xfId="0" applyNumberFormat="1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31" fillId="9" borderId="10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164" fontId="31" fillId="9" borderId="51" xfId="0" applyNumberFormat="1" applyFont="1" applyFill="1" applyBorder="1" applyAlignment="1">
      <alignment horizontal="center" vertical="center" wrapText="1"/>
    </xf>
    <xf numFmtId="164" fontId="31" fillId="9" borderId="36" xfId="0" applyNumberFormat="1" applyFont="1" applyFill="1" applyBorder="1" applyAlignment="1">
      <alignment horizontal="center" vertical="center" wrapText="1"/>
    </xf>
    <xf numFmtId="0" fontId="31" fillId="9" borderId="51" xfId="0" applyFont="1" applyFill="1" applyBorder="1" applyAlignment="1">
      <alignment horizontal="center" vertical="center" wrapText="1"/>
    </xf>
    <xf numFmtId="0" fontId="31" fillId="9" borderId="36" xfId="0" applyFont="1" applyFill="1" applyBorder="1" applyAlignment="1">
      <alignment horizontal="center" vertical="center" wrapText="1"/>
    </xf>
    <xf numFmtId="0" fontId="31" fillId="9" borderId="52" xfId="0" applyFont="1" applyFill="1" applyBorder="1" applyAlignment="1">
      <alignment horizontal="right" vertical="center" wrapText="1"/>
    </xf>
    <xf numFmtId="0" fontId="31" fillId="9" borderId="19" xfId="0" applyFont="1" applyFill="1" applyBorder="1" applyAlignment="1">
      <alignment horizontal="right" vertical="center" wrapText="1"/>
    </xf>
    <xf numFmtId="0" fontId="31" fillId="9" borderId="61" xfId="0" applyFont="1" applyFill="1" applyBorder="1" applyAlignment="1">
      <alignment horizontal="center" vertical="center" wrapText="1"/>
    </xf>
    <xf numFmtId="0" fontId="31" fillId="9" borderId="62" xfId="0" applyFont="1" applyFill="1" applyBorder="1" applyAlignment="1">
      <alignment horizontal="center" vertical="center" wrapText="1"/>
    </xf>
    <xf numFmtId="0" fontId="31" fillId="9" borderId="76" xfId="0" applyFont="1" applyFill="1" applyBorder="1" applyAlignment="1">
      <alignment horizontal="center" vertical="center" wrapText="1"/>
    </xf>
    <xf numFmtId="164" fontId="31" fillId="9" borderId="72" xfId="0" applyNumberFormat="1" applyFont="1" applyFill="1" applyBorder="1" applyAlignment="1">
      <alignment horizontal="center" vertical="center" wrapText="1"/>
    </xf>
    <xf numFmtId="0" fontId="31" fillId="9" borderId="72" xfId="0" applyFont="1" applyFill="1" applyBorder="1" applyAlignment="1">
      <alignment horizontal="center" vertical="center" wrapText="1"/>
    </xf>
    <xf numFmtId="0" fontId="31" fillId="9" borderId="77" xfId="0" applyFont="1" applyFill="1" applyBorder="1" applyAlignment="1">
      <alignment horizontal="right" vertical="center" wrapText="1"/>
    </xf>
    <xf numFmtId="49" fontId="31" fillId="9" borderId="78" xfId="0" applyNumberFormat="1" applyFont="1" applyFill="1" applyBorder="1" applyAlignment="1">
      <alignment horizontal="center" vertical="center" wrapText="1"/>
    </xf>
    <xf numFmtId="15" fontId="31" fillId="9" borderId="75" xfId="0" applyNumberFormat="1" applyFont="1" applyFill="1" applyBorder="1" applyAlignment="1">
      <alignment horizontal="center" vertical="center" wrapText="1"/>
    </xf>
    <xf numFmtId="0" fontId="31" fillId="9" borderId="75" xfId="0" applyFont="1" applyFill="1" applyBorder="1" applyAlignment="1">
      <alignment horizontal="center" vertical="center" wrapText="1"/>
    </xf>
    <xf numFmtId="0" fontId="21" fillId="9" borderId="61" xfId="0" applyFont="1" applyFill="1" applyBorder="1" applyAlignment="1">
      <alignment horizontal="center" vertical="center" wrapText="1"/>
    </xf>
    <xf numFmtId="0" fontId="21" fillId="9" borderId="62" xfId="0" applyFont="1" applyFill="1" applyBorder="1" applyAlignment="1">
      <alignment horizontal="center" vertical="center" wrapText="1"/>
    </xf>
    <xf numFmtId="0" fontId="21" fillId="9" borderId="76" xfId="0" applyFont="1" applyFill="1" applyBorder="1" applyAlignment="1">
      <alignment horizontal="center" vertical="center" wrapText="1"/>
    </xf>
    <xf numFmtId="49" fontId="21" fillId="9" borderId="60" xfId="0" applyNumberFormat="1" applyFont="1" applyFill="1" applyBorder="1" applyAlignment="1">
      <alignment horizontal="center" vertical="center" wrapText="1"/>
    </xf>
    <xf numFmtId="49" fontId="21" fillId="9" borderId="78" xfId="0" applyNumberFormat="1" applyFont="1" applyFill="1" applyBorder="1" applyAlignment="1">
      <alignment horizontal="center" vertical="center" wrapText="1"/>
    </xf>
    <xf numFmtId="15" fontId="21" fillId="9" borderId="1" xfId="0" applyNumberFormat="1" applyFont="1" applyFill="1" applyBorder="1" applyAlignment="1">
      <alignment horizontal="center" vertical="center" wrapText="1"/>
    </xf>
    <xf numFmtId="15" fontId="21" fillId="9" borderId="75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9" borderId="75" xfId="0" applyFont="1" applyFill="1" applyBorder="1" applyAlignment="1">
      <alignment horizontal="center" vertical="center" wrapText="1"/>
    </xf>
    <xf numFmtId="164" fontId="21" fillId="9" borderId="51" xfId="0" applyNumberFormat="1" applyFont="1" applyFill="1" applyBorder="1" applyAlignment="1">
      <alignment horizontal="center" vertical="center" wrapText="1"/>
    </xf>
    <xf numFmtId="164" fontId="21" fillId="9" borderId="72" xfId="0" applyNumberFormat="1" applyFont="1" applyFill="1" applyBorder="1" applyAlignment="1">
      <alignment horizontal="center" vertical="center" wrapText="1"/>
    </xf>
    <xf numFmtId="0" fontId="21" fillId="9" borderId="51" xfId="0" applyFont="1" applyFill="1" applyBorder="1" applyAlignment="1">
      <alignment horizontal="center" vertical="center" wrapText="1"/>
    </xf>
    <xf numFmtId="0" fontId="21" fillId="9" borderId="72" xfId="0" applyFont="1" applyFill="1" applyBorder="1" applyAlignment="1">
      <alignment horizontal="center" vertical="center" wrapText="1"/>
    </xf>
    <xf numFmtId="0" fontId="21" fillId="9" borderId="52" xfId="0" applyFont="1" applyFill="1" applyBorder="1" applyAlignment="1">
      <alignment horizontal="right" vertical="center" wrapText="1"/>
    </xf>
    <xf numFmtId="0" fontId="21" fillId="9" borderId="77" xfId="0" applyFont="1" applyFill="1" applyBorder="1" applyAlignment="1">
      <alignment horizontal="right" vertical="center" wrapText="1"/>
    </xf>
    <xf numFmtId="0" fontId="33" fillId="0" borderId="0" xfId="3" applyFont="1" applyAlignment="1">
      <alignment horizontal="center"/>
    </xf>
    <xf numFmtId="0" fontId="38" fillId="9" borderId="57" xfId="3" applyFont="1" applyFill="1" applyBorder="1" applyAlignment="1">
      <alignment horizontal="center"/>
    </xf>
    <xf numFmtId="0" fontId="38" fillId="9" borderId="58" xfId="3" applyFont="1" applyFill="1" applyBorder="1" applyAlignment="1">
      <alignment horizontal="center"/>
    </xf>
    <xf numFmtId="0" fontId="38" fillId="9" borderId="50" xfId="3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5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169" fontId="14" fillId="0" borderId="0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3" fontId="14" fillId="0" borderId="5" xfId="0" applyNumberFormat="1" applyFont="1" applyFill="1" applyBorder="1" applyAlignment="1">
      <alignment horizontal="right" vertical="center"/>
    </xf>
    <xf numFmtId="3" fontId="14" fillId="0" borderId="6" xfId="0" applyNumberFormat="1" applyFont="1" applyFill="1" applyBorder="1" applyAlignment="1">
      <alignment horizontal="right" vertical="center"/>
    </xf>
    <xf numFmtId="0" fontId="21" fillId="17" borderId="1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 vertical="center"/>
    </xf>
    <xf numFmtId="0" fontId="21" fillId="17" borderId="79" xfId="0" applyFont="1" applyFill="1" applyBorder="1" applyAlignment="1">
      <alignment horizontal="center" vertical="center"/>
    </xf>
    <xf numFmtId="0" fontId="21" fillId="17" borderId="80" xfId="0" applyFont="1" applyFill="1" applyBorder="1" applyAlignment="1">
      <alignment horizontal="center"/>
    </xf>
    <xf numFmtId="0" fontId="21" fillId="17" borderId="81" xfId="0" applyFont="1" applyFill="1" applyBorder="1" applyAlignment="1">
      <alignment horizontal="center"/>
    </xf>
    <xf numFmtId="0" fontId="21" fillId="17" borderId="7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17" borderId="60" xfId="0" applyFont="1" applyFill="1" applyBorder="1" applyAlignment="1">
      <alignment horizontal="center" vertical="center"/>
    </xf>
    <xf numFmtId="0" fontId="21" fillId="17" borderId="78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/>
    </xf>
    <xf numFmtId="0" fontId="21" fillId="17" borderId="7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51" fillId="0" borderId="9" xfId="0" applyFont="1" applyFill="1" applyBorder="1" applyAlignment="1">
      <alignment horizontal="left"/>
    </xf>
    <xf numFmtId="0" fontId="64" fillId="0" borderId="0" xfId="0" applyFont="1" applyAlignment="1">
      <alignment horizontal="center"/>
    </xf>
    <xf numFmtId="0" fontId="49" fillId="0" borderId="65" xfId="0" applyFont="1" applyFill="1" applyBorder="1" applyAlignment="1">
      <alignment horizontal="center"/>
    </xf>
    <xf numFmtId="0" fontId="49" fillId="0" borderId="59" xfId="0" applyFont="1" applyFill="1" applyBorder="1" applyAlignment="1">
      <alignment horizontal="center"/>
    </xf>
    <xf numFmtId="0" fontId="49" fillId="0" borderId="53" xfId="0" applyFont="1" applyFill="1" applyBorder="1" applyAlignment="1">
      <alignment horizontal="center"/>
    </xf>
    <xf numFmtId="0" fontId="49" fillId="0" borderId="33" xfId="0" applyFont="1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49" fillId="0" borderId="34" xfId="0" applyFont="1" applyBorder="1" applyAlignment="1">
      <alignment horizontal="center"/>
    </xf>
    <xf numFmtId="14" fontId="49" fillId="0" borderId="57" xfId="0" applyNumberFormat="1" applyFont="1" applyBorder="1" applyAlignment="1">
      <alignment horizontal="center"/>
    </xf>
    <xf numFmtId="14" fontId="49" fillId="0" borderId="58" xfId="0" applyNumberFormat="1" applyFont="1" applyBorder="1" applyAlignment="1">
      <alignment horizontal="center"/>
    </xf>
    <xf numFmtId="14" fontId="49" fillId="0" borderId="50" xfId="0" applyNumberFormat="1" applyFont="1" applyBorder="1" applyAlignment="1">
      <alignment horizontal="center"/>
    </xf>
    <xf numFmtId="0" fontId="51" fillId="0" borderId="0" xfId="0" applyFont="1" applyBorder="1" applyAlignment="1"/>
    <xf numFmtId="0" fontId="51" fillId="0" borderId="0" xfId="0" applyFont="1" applyBorder="1" applyAlignment="1">
      <alignment horizontal="left"/>
    </xf>
    <xf numFmtId="0" fontId="44" fillId="5" borderId="19" xfId="0" applyFont="1" applyFill="1" applyBorder="1" applyAlignment="1">
      <alignment horizontal="center"/>
    </xf>
    <xf numFmtId="0" fontId="44" fillId="5" borderId="20" xfId="0" applyFont="1" applyFill="1" applyBorder="1" applyAlignment="1">
      <alignment horizontal="center"/>
    </xf>
    <xf numFmtId="0" fontId="44" fillId="5" borderId="14" xfId="0" applyFont="1" applyFill="1" applyBorder="1" applyAlignment="1">
      <alignment horizontal="center"/>
    </xf>
    <xf numFmtId="0" fontId="44" fillId="5" borderId="12" xfId="0" applyFont="1" applyFill="1" applyBorder="1" applyAlignment="1">
      <alignment horizontal="center"/>
    </xf>
    <xf numFmtId="0" fontId="51" fillId="7" borderId="9" xfId="0" applyFont="1" applyFill="1" applyBorder="1" applyAlignment="1">
      <alignment horizontal="left"/>
    </xf>
    <xf numFmtId="0" fontId="51" fillId="15" borderId="9" xfId="0" applyFont="1" applyFill="1" applyBorder="1" applyAlignment="1">
      <alignment horizontal="left"/>
    </xf>
    <xf numFmtId="0" fontId="65" fillId="16" borderId="9" xfId="0" applyFont="1" applyFill="1" applyBorder="1" applyAlignment="1">
      <alignment horizontal="left"/>
    </xf>
    <xf numFmtId="0" fontId="51" fillId="0" borderId="9" xfId="0" applyFont="1" applyBorder="1" applyAlignment="1">
      <alignment horizontal="left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1" fillId="0" borderId="0" xfId="0" applyFont="1" applyFill="1" applyBorder="1" applyAlignment="1"/>
    <xf numFmtId="0" fontId="61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left" vertical="top" wrapText="1"/>
    </xf>
    <xf numFmtId="1" fontId="1" fillId="0" borderId="36" xfId="0" applyNumberFormat="1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left" vertical="top" wrapText="1"/>
    </xf>
  </cellXfs>
  <cellStyles count="7">
    <cellStyle name="Normal" xfId="0" builtinId="0"/>
    <cellStyle name="Normal 2" xfId="1"/>
    <cellStyle name="Normal 2 2" xfId="6"/>
    <cellStyle name="Normal_49 - Status Report CC-CIU - 878 hrs 14-02-2010 - new formato" xfId="2"/>
    <cellStyle name="Normal_ICAS-MMS" xfId="3"/>
    <cellStyle name="Normal_INSPECCIONES ESPECIALES (ICA-MMS) AS350 B3" xfId="4"/>
    <cellStyle name="Percent" xfId="5" builtinId="5"/>
  </cellStyles>
  <dxfs count="29"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1409700</xdr:colOff>
      <xdr:row>3</xdr:row>
      <xdr:rowOff>0</xdr:rowOff>
    </xdr:to>
    <xdr:pic>
      <xdr:nvPicPr>
        <xdr:cNvPr id="29995" name="Picture 1" descr="LOGO INAER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9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ten3\disco%20c\Mis%20documentos\canada\carpeta%20C-GEAW\STATUS%20C-GEAW\carpeta%20C-GEAW\carpeta%20C-GEAW\carpeta%20C-GEAW\carpeta%20CLB\carpeta%20CLB\STATUS%20CC-CL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AERONAVES%20EN%20GENERAL\canada\carpeta%20C-GEAW\A&#241;o%202000%20(1)\STATUS%20C-GEAW\carpeta%20C-GEAW\carpeta%20C-GEAW\carpeta%20C-GEAW\carpeta%20CLB\carpeta%20CLB\STATUS%20CC-CL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FAHA"/>
      <sheetName val="CELULA"/>
      <sheetName val="MOTOR 1"/>
      <sheetName val="MOTOR 2"/>
      <sheetName val="Módulo1"/>
    </sheetNames>
    <sheetDataSet>
      <sheetData sheetId="0" refreshError="1"/>
      <sheetData sheetId="1" refreshError="1">
        <row r="64">
          <cell r="C64" t="str">
            <v>MAST</v>
          </cell>
          <cell r="D64" t="str">
            <v>204-011-405-007</v>
          </cell>
          <cell r="E64" t="str">
            <v>N9-15796</v>
          </cell>
          <cell r="F64">
            <v>300000</v>
          </cell>
          <cell r="G64" t="str">
            <v>RIN</v>
          </cell>
          <cell r="H64">
            <v>3588</v>
          </cell>
          <cell r="I64">
            <v>172883</v>
          </cell>
          <cell r="J64">
            <v>169295</v>
          </cell>
          <cell r="K64">
            <v>130705</v>
          </cell>
          <cell r="L64" t="str">
            <v>RINES</v>
          </cell>
        </row>
        <row r="65">
          <cell r="C65" t="str">
            <v>T/R HANGER ASSY</v>
          </cell>
          <cell r="D65" t="str">
            <v>204-040-600-009</v>
          </cell>
          <cell r="E65" t="str">
            <v>A20-02596</v>
          </cell>
          <cell r="F65">
            <v>1000</v>
          </cell>
          <cell r="G65" t="str">
            <v>HRS</v>
          </cell>
          <cell r="H65">
            <v>14569.8</v>
          </cell>
          <cell r="I65">
            <v>0</v>
          </cell>
          <cell r="J65">
            <v>-14569.8</v>
          </cell>
          <cell r="K65">
            <v>15569.8</v>
          </cell>
          <cell r="L65" t="str">
            <v>OVERHAUL</v>
          </cell>
        </row>
        <row r="66">
          <cell r="C66" t="str">
            <v>T/R HANGER ASSY</v>
          </cell>
          <cell r="D66" t="str">
            <v>204-040-600-009</v>
          </cell>
          <cell r="E66" t="str">
            <v>A20-03547</v>
          </cell>
          <cell r="F66">
            <v>1000</v>
          </cell>
          <cell r="G66" t="str">
            <v>HRS</v>
          </cell>
          <cell r="H66">
            <v>14569.8</v>
          </cell>
          <cell r="I66">
            <v>0</v>
          </cell>
          <cell r="J66">
            <v>-14569.8</v>
          </cell>
          <cell r="K66">
            <v>15569.8</v>
          </cell>
          <cell r="L66" t="str">
            <v>OVERHAUL</v>
          </cell>
        </row>
        <row r="67">
          <cell r="C67" t="str">
            <v>T/R HANGER ASSY</v>
          </cell>
          <cell r="D67" t="str">
            <v>204-040-600-009</v>
          </cell>
          <cell r="E67" t="str">
            <v>A20-03700</v>
          </cell>
          <cell r="F67">
            <v>1000</v>
          </cell>
          <cell r="G67" t="str">
            <v>HRS</v>
          </cell>
          <cell r="H67">
            <v>14569.8</v>
          </cell>
          <cell r="I67">
            <v>0</v>
          </cell>
          <cell r="J67">
            <v>-14569.8</v>
          </cell>
          <cell r="K67">
            <v>15569.8</v>
          </cell>
          <cell r="L67" t="str">
            <v>OVERHAUL</v>
          </cell>
        </row>
        <row r="68">
          <cell r="C68" t="str">
            <v>T/R HANGER ASSY</v>
          </cell>
          <cell r="D68" t="str">
            <v>204-040-600-009</v>
          </cell>
          <cell r="E68" t="str">
            <v>A20-01827</v>
          </cell>
          <cell r="F68">
            <v>1000</v>
          </cell>
          <cell r="G68" t="str">
            <v>HRS</v>
          </cell>
          <cell r="H68">
            <v>14569.8</v>
          </cell>
          <cell r="I68">
            <v>0</v>
          </cell>
          <cell r="J68">
            <v>-14569.8</v>
          </cell>
          <cell r="K68">
            <v>15569.8</v>
          </cell>
          <cell r="L68" t="str">
            <v>OVERHAUL</v>
          </cell>
        </row>
        <row r="69">
          <cell r="C69" t="str">
            <v>T/R HANGER BEARING</v>
          </cell>
          <cell r="D69" t="str">
            <v>204-040-623-005</v>
          </cell>
          <cell r="E69" t="str">
            <v>ZV-40441A</v>
          </cell>
          <cell r="F69">
            <v>1000</v>
          </cell>
          <cell r="G69" t="str">
            <v>HRS</v>
          </cell>
          <cell r="H69">
            <v>14569.8</v>
          </cell>
          <cell r="I69">
            <v>0</v>
          </cell>
          <cell r="J69">
            <v>-14569.8</v>
          </cell>
          <cell r="K69">
            <v>15569.8</v>
          </cell>
          <cell r="L69" t="str">
            <v>LIMITE VIDA</v>
          </cell>
        </row>
        <row r="70">
          <cell r="C70" t="str">
            <v>T/R HANGER ASSY</v>
          </cell>
          <cell r="D70" t="str">
            <v>204-040-623-005</v>
          </cell>
          <cell r="E70" t="str">
            <v>ZV-66730</v>
          </cell>
          <cell r="F70">
            <v>1000</v>
          </cell>
          <cell r="G70" t="str">
            <v>HRS</v>
          </cell>
          <cell r="H70">
            <v>14569.8</v>
          </cell>
          <cell r="I70">
            <v>0</v>
          </cell>
          <cell r="J70">
            <v>-14569.8</v>
          </cell>
          <cell r="K70">
            <v>15569.8</v>
          </cell>
          <cell r="L70" t="str">
            <v>LIMITE VIDA</v>
          </cell>
        </row>
        <row r="71">
          <cell r="C71" t="str">
            <v>T/R HANGER ASSY</v>
          </cell>
          <cell r="D71" t="str">
            <v>204-040-623-005</v>
          </cell>
          <cell r="E71" t="str">
            <v>ZV-40297A</v>
          </cell>
          <cell r="F71">
            <v>1000</v>
          </cell>
          <cell r="G71" t="str">
            <v>HRS</v>
          </cell>
          <cell r="H71">
            <v>14569.8</v>
          </cell>
          <cell r="I71">
            <v>0</v>
          </cell>
          <cell r="J71">
            <v>-14569.8</v>
          </cell>
          <cell r="K71">
            <v>15569.8</v>
          </cell>
          <cell r="L71" t="str">
            <v>LIMITE VIDA</v>
          </cell>
        </row>
        <row r="72">
          <cell r="C72" t="str">
            <v>T/R HANGER ASSY</v>
          </cell>
          <cell r="D72" t="str">
            <v>204-040-623-005</v>
          </cell>
          <cell r="E72" t="str">
            <v>ZV-66750</v>
          </cell>
          <cell r="F72">
            <v>1000</v>
          </cell>
          <cell r="G72" t="str">
            <v>HRS</v>
          </cell>
          <cell r="H72">
            <v>14569.8</v>
          </cell>
          <cell r="I72">
            <v>0</v>
          </cell>
          <cell r="J72">
            <v>-14569.8</v>
          </cell>
          <cell r="K72">
            <v>15569.8</v>
          </cell>
          <cell r="L72" t="str">
            <v>LIMITE VIDA</v>
          </cell>
        </row>
        <row r="73">
          <cell r="C73" t="str">
            <v>T/R HANGER COUPLING</v>
          </cell>
          <cell r="D73" t="str">
            <v>204-040-600-009</v>
          </cell>
          <cell r="E73" t="str">
            <v>A20-02596</v>
          </cell>
          <cell r="F73">
            <v>500</v>
          </cell>
          <cell r="G73" t="str">
            <v>HRS</v>
          </cell>
          <cell r="H73">
            <v>14569.8</v>
          </cell>
          <cell r="I73">
            <v>0</v>
          </cell>
          <cell r="J73">
            <v>-14569.8</v>
          </cell>
          <cell r="K73">
            <v>15069.8</v>
          </cell>
          <cell r="L73" t="str">
            <v>LIMITE VIDA</v>
          </cell>
        </row>
        <row r="74">
          <cell r="C74" t="str">
            <v>T/R HANGER COUPLING</v>
          </cell>
          <cell r="D74" t="str">
            <v>204-040-600-009</v>
          </cell>
          <cell r="E74" t="str">
            <v>A20-80223</v>
          </cell>
          <cell r="F74">
            <v>0.5</v>
          </cell>
          <cell r="G74" t="str">
            <v>MES</v>
          </cell>
          <cell r="H74">
            <v>36097</v>
          </cell>
          <cell r="J74" t="str">
            <v xml:space="preserve"> </v>
          </cell>
          <cell r="K74">
            <v>36279.5</v>
          </cell>
          <cell r="L74" t="str">
            <v>REGREASE</v>
          </cell>
        </row>
        <row r="75">
          <cell r="C75" t="str">
            <v>T/R HANGER COUPLING</v>
          </cell>
          <cell r="D75" t="str">
            <v>204-040-600-009</v>
          </cell>
          <cell r="E75" t="str">
            <v>A20-03547</v>
          </cell>
          <cell r="F75">
            <v>500</v>
          </cell>
          <cell r="G75" t="str">
            <v>HRS</v>
          </cell>
          <cell r="H75">
            <v>14569.8</v>
          </cell>
          <cell r="I75">
            <v>0</v>
          </cell>
          <cell r="J75">
            <v>-14569.8</v>
          </cell>
          <cell r="K75">
            <v>15069.8</v>
          </cell>
          <cell r="L75" t="str">
            <v>REGREASE</v>
          </cell>
        </row>
        <row r="76">
          <cell r="C76" t="str">
            <v>T/R HANGER COUPLING</v>
          </cell>
          <cell r="D76" t="str">
            <v>204-040-600-009</v>
          </cell>
          <cell r="E76" t="str">
            <v>A20-03547</v>
          </cell>
          <cell r="F76">
            <v>0.5</v>
          </cell>
          <cell r="G76" t="str">
            <v>MES</v>
          </cell>
          <cell r="H76">
            <v>36097</v>
          </cell>
          <cell r="J76" t="str">
            <v xml:space="preserve"> </v>
          </cell>
          <cell r="K76">
            <v>36279.5</v>
          </cell>
          <cell r="L76" t="str">
            <v>REGREASE</v>
          </cell>
        </row>
        <row r="77">
          <cell r="C77" t="str">
            <v>T/R HANGER COUPLING</v>
          </cell>
          <cell r="D77" t="str">
            <v>204-040-600-009</v>
          </cell>
          <cell r="E77" t="str">
            <v>A20-03700</v>
          </cell>
          <cell r="F77">
            <v>500</v>
          </cell>
          <cell r="G77" t="str">
            <v>HRS</v>
          </cell>
          <cell r="H77">
            <v>14569.8</v>
          </cell>
          <cell r="I77">
            <v>0</v>
          </cell>
          <cell r="J77">
            <v>-14569.8</v>
          </cell>
          <cell r="K77">
            <v>15069.8</v>
          </cell>
          <cell r="L77" t="str">
            <v>REGREASE</v>
          </cell>
        </row>
        <row r="78">
          <cell r="C78" t="str">
            <v>T/R HANGER COUPLING</v>
          </cell>
          <cell r="D78" t="str">
            <v>204-040-600-009</v>
          </cell>
          <cell r="E78" t="str">
            <v>A20-03700</v>
          </cell>
          <cell r="F78">
            <v>0.5</v>
          </cell>
          <cell r="G78" t="str">
            <v>MES</v>
          </cell>
          <cell r="H78">
            <v>36097</v>
          </cell>
          <cell r="J78" t="str">
            <v xml:space="preserve"> </v>
          </cell>
          <cell r="K78">
            <v>36279.5</v>
          </cell>
          <cell r="L78" t="str">
            <v>REGREASE</v>
          </cell>
        </row>
        <row r="79">
          <cell r="C79" t="str">
            <v>T/R HANGER COUPLING</v>
          </cell>
          <cell r="D79" t="str">
            <v>204-040-600-009</v>
          </cell>
          <cell r="E79" t="str">
            <v>A20-01827</v>
          </cell>
          <cell r="F79">
            <v>500</v>
          </cell>
          <cell r="G79" t="str">
            <v>HRS</v>
          </cell>
          <cell r="H79">
            <v>14569.8</v>
          </cell>
          <cell r="I79">
            <v>0</v>
          </cell>
          <cell r="J79">
            <v>-14569.8</v>
          </cell>
          <cell r="K79">
            <v>15069.8</v>
          </cell>
          <cell r="L79" t="str">
            <v>REGREASE</v>
          </cell>
        </row>
        <row r="80">
          <cell r="C80" t="str">
            <v>T/R HANGER COUPLING</v>
          </cell>
          <cell r="D80" t="str">
            <v>204-040-600-009</v>
          </cell>
          <cell r="E80" t="str">
            <v>A20-01827</v>
          </cell>
          <cell r="F80">
            <v>0.5</v>
          </cell>
          <cell r="G80" t="str">
            <v>MES</v>
          </cell>
          <cell r="H80">
            <v>36097</v>
          </cell>
          <cell r="J80" t="str">
            <v xml:space="preserve"> </v>
          </cell>
          <cell r="K80">
            <v>36279.5</v>
          </cell>
          <cell r="L80" t="str">
            <v>REGREASE</v>
          </cell>
        </row>
        <row r="81">
          <cell r="C81" t="str">
            <v>TRANSMISSION ASSEMBLY</v>
          </cell>
          <cell r="D81" t="str">
            <v>204-040-009-061</v>
          </cell>
          <cell r="E81">
            <v>3039</v>
          </cell>
          <cell r="F81">
            <v>1500</v>
          </cell>
          <cell r="G81" t="str">
            <v>HRS</v>
          </cell>
          <cell r="H81">
            <v>13662.5</v>
          </cell>
          <cell r="I81">
            <v>0</v>
          </cell>
          <cell r="J81">
            <v>-13662.5</v>
          </cell>
          <cell r="K81">
            <v>15162.5</v>
          </cell>
          <cell r="L81" t="str">
            <v>OVERHAUL</v>
          </cell>
        </row>
        <row r="82">
          <cell r="C82" t="str">
            <v>TRANSMISSION COUPLING</v>
          </cell>
          <cell r="D82" t="str">
            <v>204-040-604-005</v>
          </cell>
          <cell r="F82">
            <v>500</v>
          </cell>
          <cell r="G82" t="str">
            <v>HRS.</v>
          </cell>
          <cell r="H82">
            <v>14569.8</v>
          </cell>
          <cell r="I82">
            <v>0</v>
          </cell>
          <cell r="J82">
            <v>-14569.8</v>
          </cell>
          <cell r="K82">
            <v>15069.8</v>
          </cell>
          <cell r="L82" t="str">
            <v>REGREASE</v>
          </cell>
        </row>
        <row r="83">
          <cell r="C83" t="str">
            <v>TRANSMISSION COUPLING</v>
          </cell>
          <cell r="D83" t="str">
            <v>204-040-604-005</v>
          </cell>
          <cell r="F83">
            <v>0.5</v>
          </cell>
          <cell r="G83" t="str">
            <v>MES</v>
          </cell>
          <cell r="H83">
            <v>36097</v>
          </cell>
          <cell r="I83">
            <v>0</v>
          </cell>
          <cell r="J83">
            <v>0</v>
          </cell>
          <cell r="K83">
            <v>36279.5</v>
          </cell>
          <cell r="L83" t="str">
            <v>REGREASE</v>
          </cell>
        </row>
        <row r="84">
          <cell r="C84" t="str">
            <v>TUBE ASSY</v>
          </cell>
          <cell r="D84" t="str">
            <v>204-011-267-001</v>
          </cell>
          <cell r="F84">
            <v>3000</v>
          </cell>
          <cell r="G84" t="str">
            <v>HRS.</v>
          </cell>
          <cell r="H84">
            <v>13463.2</v>
          </cell>
          <cell r="I84">
            <v>0</v>
          </cell>
          <cell r="J84">
            <v>-13463.2</v>
          </cell>
          <cell r="K84">
            <v>16463.2</v>
          </cell>
          <cell r="L84" t="str">
            <v>OVERHAUL</v>
          </cell>
        </row>
        <row r="85">
          <cell r="C85" t="str">
            <v>TUBE ASSY</v>
          </cell>
          <cell r="D85" t="str">
            <v>204-011-267-003</v>
          </cell>
          <cell r="F85">
            <v>3000</v>
          </cell>
          <cell r="G85" t="str">
            <v>HRS.</v>
          </cell>
          <cell r="H85">
            <v>13463.2</v>
          </cell>
          <cell r="I85">
            <v>0</v>
          </cell>
          <cell r="J85">
            <v>-13463.2</v>
          </cell>
          <cell r="K85">
            <v>16463.2</v>
          </cell>
          <cell r="L85" t="str">
            <v>OVERHAUL</v>
          </cell>
        </row>
        <row r="86">
          <cell r="C86" t="str">
            <v>TUBE ASSY</v>
          </cell>
          <cell r="D86" t="str">
            <v>204-011-267-005</v>
          </cell>
          <cell r="F86">
            <v>3000</v>
          </cell>
          <cell r="G86" t="str">
            <v>HRS.</v>
          </cell>
          <cell r="H86">
            <v>13463.2</v>
          </cell>
          <cell r="I86">
            <v>0</v>
          </cell>
          <cell r="J86">
            <v>-13463.2</v>
          </cell>
          <cell r="K86">
            <v>16463.2</v>
          </cell>
          <cell r="L86" t="str">
            <v>OVERHAUL</v>
          </cell>
        </row>
        <row r="87">
          <cell r="C87" t="str">
            <v>ELEVATOR TUBE</v>
          </cell>
          <cell r="D87" t="str">
            <v>204-076-961-001</v>
          </cell>
          <cell r="F87">
            <v>3000</v>
          </cell>
          <cell r="G87" t="str">
            <v>HRS.</v>
          </cell>
          <cell r="H87">
            <v>13463.2</v>
          </cell>
          <cell r="I87">
            <v>0</v>
          </cell>
          <cell r="J87">
            <v>-13463.2</v>
          </cell>
          <cell r="K87">
            <v>16463.2</v>
          </cell>
          <cell r="L87" t="str">
            <v>OVERHAUL</v>
          </cell>
        </row>
        <row r="88">
          <cell r="C88" t="str">
            <v>CYCLIC  IMPUT TUBE</v>
          </cell>
          <cell r="D88" t="str">
            <v>204-011-018-027</v>
          </cell>
          <cell r="F88">
            <v>3000</v>
          </cell>
          <cell r="G88" t="str">
            <v>HRS.</v>
          </cell>
          <cell r="H88">
            <v>13463.2</v>
          </cell>
          <cell r="I88">
            <v>0</v>
          </cell>
          <cell r="J88">
            <v>-13463.2</v>
          </cell>
          <cell r="K88">
            <v>16463.2</v>
          </cell>
          <cell r="L88" t="str">
            <v>OVERHAUL</v>
          </cell>
        </row>
        <row r="89">
          <cell r="C89" t="str">
            <v>CYCLIC  IMPUT TUBE</v>
          </cell>
          <cell r="D89" t="str">
            <v>204-011-018-027</v>
          </cell>
          <cell r="F89">
            <v>3000</v>
          </cell>
          <cell r="G89" t="str">
            <v>HRS.</v>
          </cell>
          <cell r="H89">
            <v>13463.2</v>
          </cell>
          <cell r="I89">
            <v>0</v>
          </cell>
          <cell r="J89">
            <v>-13463.2</v>
          </cell>
          <cell r="K89">
            <v>16463.2</v>
          </cell>
          <cell r="L89" t="str">
            <v>OVERHAUL</v>
          </cell>
        </row>
        <row r="90">
          <cell r="C90" t="str">
            <v>COLLECTIVE INPUT TUBE</v>
          </cell>
          <cell r="D90" t="str">
            <v>204-001-018-043</v>
          </cell>
          <cell r="F90">
            <v>3000</v>
          </cell>
          <cell r="G90" t="str">
            <v>HRS.</v>
          </cell>
          <cell r="H90">
            <v>13463.2</v>
          </cell>
          <cell r="I90">
            <v>0</v>
          </cell>
          <cell r="J90">
            <v>-13463.2</v>
          </cell>
          <cell r="K90">
            <v>16463.2</v>
          </cell>
          <cell r="L90" t="str">
            <v>OVERHAUL</v>
          </cell>
        </row>
        <row r="91">
          <cell r="C91" t="str">
            <v>UPPER ELEVATOR TUBE</v>
          </cell>
          <cell r="D91" t="str">
            <v>204-001-957-001</v>
          </cell>
          <cell r="F91">
            <v>3000</v>
          </cell>
          <cell r="G91" t="str">
            <v>HRS.</v>
          </cell>
          <cell r="H91">
            <v>13463.2</v>
          </cell>
          <cell r="I91">
            <v>0</v>
          </cell>
          <cell r="J91">
            <v>-13463.2</v>
          </cell>
          <cell r="K91">
            <v>16463.2</v>
          </cell>
          <cell r="L91" t="str">
            <v>OVERHAUL</v>
          </cell>
        </row>
        <row r="92">
          <cell r="C92" t="str">
            <v>IMPUT DRIVE SHAFT</v>
          </cell>
          <cell r="D92" t="str">
            <v>205-040-004-101</v>
          </cell>
          <cell r="E92" t="str">
            <v>A2O-9783</v>
          </cell>
          <cell r="F92">
            <v>500</v>
          </cell>
          <cell r="G92" t="str">
            <v>HRS.</v>
          </cell>
          <cell r="H92">
            <v>14569.8</v>
          </cell>
          <cell r="I92">
            <v>0</v>
          </cell>
          <cell r="J92">
            <v>-14569.8</v>
          </cell>
          <cell r="K92">
            <v>15069.8</v>
          </cell>
          <cell r="L92" t="str">
            <v>REGREASE</v>
          </cell>
        </row>
        <row r="93">
          <cell r="C93" t="str">
            <v>IMPUT DRIVE SHAFT</v>
          </cell>
          <cell r="D93" t="str">
            <v>205-040-004-101</v>
          </cell>
          <cell r="E93" t="str">
            <v>A2O-9783</v>
          </cell>
          <cell r="F93">
            <v>1</v>
          </cell>
          <cell r="G93" t="str">
            <v>AÑOS</v>
          </cell>
          <cell r="H93">
            <v>36097</v>
          </cell>
          <cell r="I93">
            <v>0</v>
          </cell>
          <cell r="J93">
            <v>0</v>
          </cell>
          <cell r="K93">
            <v>36462</v>
          </cell>
          <cell r="L93" t="str">
            <v>REGREASE</v>
          </cell>
        </row>
        <row r="94">
          <cell r="C94" t="str">
            <v>42 ° GEARBOX</v>
          </cell>
          <cell r="D94" t="str">
            <v>212-040-003-023</v>
          </cell>
          <cell r="E94" t="str">
            <v>AFS-1017</v>
          </cell>
          <cell r="F94">
            <v>5000</v>
          </cell>
          <cell r="G94" t="str">
            <v>HRS.</v>
          </cell>
          <cell r="H94">
            <v>13794.3</v>
          </cell>
          <cell r="I94">
            <v>0</v>
          </cell>
          <cell r="J94">
            <v>-13794.3</v>
          </cell>
          <cell r="K94">
            <v>18794.3</v>
          </cell>
          <cell r="L94" t="str">
            <v>OVERHAUL</v>
          </cell>
        </row>
        <row r="95">
          <cell r="C95" t="str">
            <v>42 ° GEARBOX COUPLING</v>
          </cell>
          <cell r="D95" t="str">
            <v>204-040-604-005</v>
          </cell>
          <cell r="F95">
            <v>500</v>
          </cell>
          <cell r="G95" t="str">
            <v>HRS.</v>
          </cell>
          <cell r="H95">
            <v>14569.8</v>
          </cell>
          <cell r="I95">
            <v>0</v>
          </cell>
          <cell r="J95">
            <v>-14569.8</v>
          </cell>
          <cell r="K95">
            <v>15069.8</v>
          </cell>
          <cell r="L95" t="str">
            <v>REGREASE</v>
          </cell>
        </row>
        <row r="96">
          <cell r="C96" t="str">
            <v>42 ° GEARBOX COUPLING</v>
          </cell>
          <cell r="D96" t="str">
            <v>204-040-604-005</v>
          </cell>
          <cell r="F96">
            <v>0.5</v>
          </cell>
          <cell r="G96" t="str">
            <v>MES</v>
          </cell>
          <cell r="H96">
            <v>36097</v>
          </cell>
          <cell r="I96">
            <v>0</v>
          </cell>
          <cell r="J96">
            <v>0</v>
          </cell>
          <cell r="K96">
            <v>36279.5</v>
          </cell>
          <cell r="L96" t="str">
            <v>REGREASE</v>
          </cell>
        </row>
        <row r="97">
          <cell r="C97" t="str">
            <v>90 ° GEARBOX</v>
          </cell>
          <cell r="D97" t="str">
            <v>204-040-012-018</v>
          </cell>
          <cell r="E97" t="str">
            <v>BBC-091</v>
          </cell>
          <cell r="F97">
            <v>1500</v>
          </cell>
          <cell r="G97" t="str">
            <v>HRS.</v>
          </cell>
          <cell r="H97">
            <v>13464.7</v>
          </cell>
          <cell r="I97">
            <v>0</v>
          </cell>
          <cell r="J97">
            <v>-13464.7</v>
          </cell>
          <cell r="K97">
            <v>14964.7</v>
          </cell>
          <cell r="L97" t="str">
            <v>OVERHAUL</v>
          </cell>
        </row>
        <row r="98">
          <cell r="C98" t="str">
            <v>90 ° GEARBOX COUPLING</v>
          </cell>
          <cell r="D98" t="str">
            <v>204-040-604-005</v>
          </cell>
          <cell r="F98">
            <v>500</v>
          </cell>
          <cell r="G98" t="str">
            <v>HRS.</v>
          </cell>
          <cell r="H98">
            <v>14569.8</v>
          </cell>
          <cell r="I98">
            <v>0</v>
          </cell>
          <cell r="J98">
            <v>-14569.8</v>
          </cell>
          <cell r="K98">
            <v>15069.8</v>
          </cell>
          <cell r="L98" t="str">
            <v>REGREESE</v>
          </cell>
        </row>
        <row r="99">
          <cell r="C99" t="str">
            <v>90 ° GEARBOX COUPLING</v>
          </cell>
          <cell r="D99" t="str">
            <v>204-040-604-005</v>
          </cell>
          <cell r="F99">
            <v>0.5</v>
          </cell>
          <cell r="G99" t="str">
            <v>MES</v>
          </cell>
          <cell r="H99">
            <v>36097</v>
          </cell>
          <cell r="I99">
            <v>0</v>
          </cell>
          <cell r="J99">
            <v>0</v>
          </cell>
          <cell r="K99">
            <v>36279.5</v>
          </cell>
          <cell r="L99" t="str">
            <v>REGREESE</v>
          </cell>
        </row>
        <row r="100">
          <cell r="C100" t="str">
            <v>90 ° OUTPUT SHAFT</v>
          </cell>
          <cell r="D100" t="str">
            <v>204-040-402-003</v>
          </cell>
          <cell r="E100" t="str">
            <v>B13-11598</v>
          </cell>
          <cell r="F100">
            <v>10000</v>
          </cell>
          <cell r="G100" t="str">
            <v>HRS.</v>
          </cell>
          <cell r="H100">
            <v>13464.7</v>
          </cell>
          <cell r="I100">
            <v>777</v>
          </cell>
          <cell r="J100">
            <v>-12687.7</v>
          </cell>
          <cell r="K100">
            <v>22687.7</v>
          </cell>
          <cell r="L100" t="str">
            <v>LIMITE VIDA</v>
          </cell>
        </row>
        <row r="101">
          <cell r="C101" t="str">
            <v>T/R HUB AND BLADE ASSY</v>
          </cell>
          <cell r="D101" t="str">
            <v>204-011-801-121</v>
          </cell>
          <cell r="E101" t="str">
            <v>Q29-1950</v>
          </cell>
          <cell r="F101">
            <v>1000</v>
          </cell>
          <cell r="G101" t="str">
            <v>HRS.</v>
          </cell>
          <cell r="H101">
            <v>13878.2</v>
          </cell>
          <cell r="I101">
            <v>0</v>
          </cell>
          <cell r="J101">
            <v>-13878.2</v>
          </cell>
          <cell r="K101">
            <v>14878.2</v>
          </cell>
          <cell r="L101" t="str">
            <v>OVERHAUL</v>
          </cell>
        </row>
        <row r="102">
          <cell r="C102" t="str">
            <v>T/R YOKE</v>
          </cell>
          <cell r="D102" t="str">
            <v>204-011-722-006</v>
          </cell>
          <cell r="E102" t="str">
            <v>AFS-3990</v>
          </cell>
          <cell r="F102">
            <v>1000</v>
          </cell>
          <cell r="G102" t="str">
            <v>HRS.</v>
          </cell>
          <cell r="H102">
            <v>13878.2</v>
          </cell>
          <cell r="I102">
            <v>0</v>
          </cell>
          <cell r="J102">
            <v>-13878.2</v>
          </cell>
          <cell r="K102">
            <v>14878.2</v>
          </cell>
          <cell r="L102" t="str">
            <v>LIMITE VIDA</v>
          </cell>
        </row>
        <row r="103">
          <cell r="C103" t="str">
            <v>T/R GRIP</v>
          </cell>
          <cell r="D103" t="str">
            <v>205-011-711-101</v>
          </cell>
          <cell r="E103" t="str">
            <v>AFS-7584</v>
          </cell>
          <cell r="F103">
            <v>2500</v>
          </cell>
          <cell r="G103" t="str">
            <v>HRS.</v>
          </cell>
          <cell r="H103">
            <v>13878.2</v>
          </cell>
          <cell r="I103">
            <v>1583.6</v>
          </cell>
          <cell r="J103">
            <v>-12294.6</v>
          </cell>
          <cell r="K103">
            <v>14794.6</v>
          </cell>
          <cell r="L103" t="str">
            <v>LIMITE VIDA</v>
          </cell>
        </row>
        <row r="104">
          <cell r="C104" t="str">
            <v>T/R GRIP</v>
          </cell>
          <cell r="D104" t="str">
            <v>205-011-711-101</v>
          </cell>
          <cell r="E104" t="str">
            <v>AFS-8659</v>
          </cell>
          <cell r="F104">
            <v>2500</v>
          </cell>
          <cell r="G104" t="str">
            <v>HRS.</v>
          </cell>
          <cell r="H104">
            <v>13878.2</v>
          </cell>
          <cell r="I104">
            <v>1583.6</v>
          </cell>
          <cell r="J104">
            <v>-12294.6</v>
          </cell>
          <cell r="K104">
            <v>14794.6</v>
          </cell>
          <cell r="L104" t="str">
            <v>LIMITE VIDA</v>
          </cell>
        </row>
        <row r="105">
          <cell r="C105" t="str">
            <v>TAIL ROTOR BLADE</v>
          </cell>
          <cell r="D105" t="str">
            <v>204-011-702-121</v>
          </cell>
          <cell r="E105" t="str">
            <v>A21238</v>
          </cell>
          <cell r="F105">
            <v>1000</v>
          </cell>
          <cell r="G105" t="str">
            <v>HRS.</v>
          </cell>
          <cell r="H105">
            <v>13878.2</v>
          </cell>
          <cell r="I105">
            <v>0</v>
          </cell>
          <cell r="J105">
            <v>-13878.2</v>
          </cell>
          <cell r="K105">
            <v>14878.2</v>
          </cell>
          <cell r="L105" t="str">
            <v>LIMITE VIDA</v>
          </cell>
        </row>
        <row r="106">
          <cell r="C106" t="str">
            <v>TAIL ROTOR BLADE</v>
          </cell>
          <cell r="D106" t="str">
            <v>204-011-702-121</v>
          </cell>
          <cell r="E106" t="str">
            <v>A21237</v>
          </cell>
          <cell r="F106">
            <v>1000</v>
          </cell>
          <cell r="G106" t="str">
            <v>HRS.</v>
          </cell>
          <cell r="H106">
            <v>13878.2</v>
          </cell>
          <cell r="I106">
            <v>0</v>
          </cell>
          <cell r="J106">
            <v>-13878.2</v>
          </cell>
          <cell r="K106">
            <v>14878.2</v>
          </cell>
          <cell r="L106" t="str">
            <v>LIMITE VIDA</v>
          </cell>
        </row>
        <row r="107">
          <cell r="C107" t="str">
            <v>TAIL ROTOR CHAIN SILENT</v>
          </cell>
          <cell r="D107" t="str">
            <v>204-001-739-003</v>
          </cell>
          <cell r="F107" t="str">
            <v>OC</v>
          </cell>
          <cell r="G107" t="str">
            <v>HRS.</v>
          </cell>
          <cell r="H107">
            <v>14238.4</v>
          </cell>
          <cell r="I107">
            <v>0</v>
          </cell>
          <cell r="J107">
            <v>0</v>
          </cell>
          <cell r="K107" t="str">
            <v>OC</v>
          </cell>
          <cell r="L107" t="str">
            <v>ON CONDITION</v>
          </cell>
        </row>
        <row r="108">
          <cell r="C108" t="str">
            <v>IRREVERSIBLE VALVE</v>
          </cell>
          <cell r="D108" t="str">
            <v>204-076-055-001</v>
          </cell>
          <cell r="E108">
            <v>1119</v>
          </cell>
          <cell r="F108">
            <v>1000</v>
          </cell>
          <cell r="G108" t="str">
            <v>HRS.</v>
          </cell>
          <cell r="H108">
            <v>14440.6</v>
          </cell>
          <cell r="I108">
            <v>0</v>
          </cell>
          <cell r="J108">
            <v>-14440.6</v>
          </cell>
          <cell r="K108">
            <v>15440.6</v>
          </cell>
          <cell r="L108" t="str">
            <v>OVERHAUL</v>
          </cell>
        </row>
        <row r="109">
          <cell r="C109" t="str">
            <v>IRREVERSIBLE VALVE</v>
          </cell>
          <cell r="D109" t="str">
            <v>204-076-055-001</v>
          </cell>
          <cell r="E109">
            <v>23123</v>
          </cell>
          <cell r="F109">
            <v>1000</v>
          </cell>
          <cell r="G109" t="str">
            <v>HRS.</v>
          </cell>
          <cell r="H109">
            <v>14567.1</v>
          </cell>
          <cell r="I109">
            <v>0</v>
          </cell>
          <cell r="J109">
            <v>-14567.1</v>
          </cell>
          <cell r="K109">
            <v>15567.1</v>
          </cell>
          <cell r="L109" t="str">
            <v>OVERHAUL</v>
          </cell>
        </row>
        <row r="110">
          <cell r="C110" t="str">
            <v>IRREVERSIBLE VALVE</v>
          </cell>
          <cell r="D110" t="str">
            <v>204-076-055-001</v>
          </cell>
          <cell r="E110">
            <v>45043</v>
          </cell>
          <cell r="F110">
            <v>1000</v>
          </cell>
          <cell r="G110" t="str">
            <v>HRS.</v>
          </cell>
          <cell r="H110">
            <v>14440.6</v>
          </cell>
          <cell r="I110">
            <v>0</v>
          </cell>
          <cell r="J110">
            <v>-14440.6</v>
          </cell>
          <cell r="K110">
            <v>15440.6</v>
          </cell>
          <cell r="L110" t="str">
            <v>OVERHAUL</v>
          </cell>
        </row>
        <row r="111">
          <cell r="C111" t="str">
            <v>SERVO ACT- CYCLIC</v>
          </cell>
          <cell r="D111" t="str">
            <v>205-076-038-007</v>
          </cell>
          <cell r="E111">
            <v>57689</v>
          </cell>
          <cell r="F111">
            <v>1500</v>
          </cell>
          <cell r="G111" t="str">
            <v>HRS.</v>
          </cell>
          <cell r="H111">
            <v>13776.2</v>
          </cell>
          <cell r="I111">
            <v>0</v>
          </cell>
          <cell r="J111">
            <v>-13776.2</v>
          </cell>
          <cell r="K111">
            <v>15276.2</v>
          </cell>
          <cell r="L111" t="str">
            <v>OVERHAUL</v>
          </cell>
        </row>
        <row r="112">
          <cell r="C112" t="str">
            <v>SERVO ACT- CYCLIC</v>
          </cell>
          <cell r="D112" t="str">
            <v>205-076-038-007</v>
          </cell>
          <cell r="E112">
            <v>65278</v>
          </cell>
          <cell r="F112">
            <v>1500</v>
          </cell>
          <cell r="G112" t="str">
            <v>HRS.</v>
          </cell>
          <cell r="H112">
            <v>14236.4</v>
          </cell>
          <cell r="I112">
            <v>0</v>
          </cell>
          <cell r="J112">
            <v>-14236.4</v>
          </cell>
          <cell r="K112">
            <v>15736.4</v>
          </cell>
          <cell r="L112" t="str">
            <v>OVERHAUL</v>
          </cell>
        </row>
        <row r="113">
          <cell r="C113" t="str">
            <v>SERVO ACT- COLECT</v>
          </cell>
          <cell r="D113" t="str">
            <v>205-076-038-007</v>
          </cell>
          <cell r="E113" t="str">
            <v>7414C</v>
          </cell>
          <cell r="F113">
            <v>1500</v>
          </cell>
          <cell r="G113" t="str">
            <v>HRS.</v>
          </cell>
          <cell r="H113">
            <v>13463.2</v>
          </cell>
          <cell r="I113">
            <v>0</v>
          </cell>
          <cell r="J113">
            <v>-13463.2</v>
          </cell>
          <cell r="K113">
            <v>14963.2</v>
          </cell>
          <cell r="L113" t="str">
            <v>OVERHAUL</v>
          </cell>
        </row>
        <row r="114">
          <cell r="C114" t="str">
            <v>T/R SERVO</v>
          </cell>
          <cell r="D114" t="str">
            <v>204-076-053-005</v>
          </cell>
          <cell r="E114">
            <v>4646</v>
          </cell>
          <cell r="F114">
            <v>1500</v>
          </cell>
          <cell r="G114" t="str">
            <v>OC</v>
          </cell>
          <cell r="H114">
            <v>12858.6</v>
          </cell>
          <cell r="I114">
            <v>0</v>
          </cell>
          <cell r="J114">
            <v>-12858.6</v>
          </cell>
          <cell r="K114" t="str">
            <v>OC</v>
          </cell>
          <cell r="L114" t="str">
            <v>CONDICION</v>
          </cell>
        </row>
        <row r="115">
          <cell r="C115" t="str">
            <v>ELEVATOR HORN ASSY</v>
          </cell>
          <cell r="D115" t="str">
            <v>204-001-937-005</v>
          </cell>
          <cell r="E115" t="str">
            <v>EAG-21329</v>
          </cell>
          <cell r="F115">
            <v>3000</v>
          </cell>
          <cell r="G115" t="str">
            <v>HRS.</v>
          </cell>
          <cell r="H115">
            <v>12829.6</v>
          </cell>
          <cell r="I115">
            <v>905.2</v>
          </cell>
          <cell r="J115">
            <v>-11924.4</v>
          </cell>
          <cell r="K115">
            <v>14924.4</v>
          </cell>
          <cell r="L115" t="str">
            <v>LIMITE VIDA</v>
          </cell>
        </row>
        <row r="116">
          <cell r="C116" t="str">
            <v>ELEVATOR RH</v>
          </cell>
          <cell r="D116" t="str">
            <v>204-030-858-054</v>
          </cell>
          <cell r="E116" t="str">
            <v>DDG-50275</v>
          </cell>
          <cell r="F116">
            <v>3000</v>
          </cell>
          <cell r="G116" t="str">
            <v>HRS.</v>
          </cell>
          <cell r="H116">
            <v>12929.6</v>
          </cell>
          <cell r="I116">
            <v>905.2</v>
          </cell>
          <cell r="J116">
            <v>-12024.4</v>
          </cell>
          <cell r="K116">
            <v>15024.4</v>
          </cell>
          <cell r="L116" t="str">
            <v>LIMITE VIDA</v>
          </cell>
        </row>
        <row r="117">
          <cell r="C117" t="str">
            <v>ELEVATOR LH</v>
          </cell>
          <cell r="D117" t="str">
            <v>204-030-858-053</v>
          </cell>
          <cell r="E117" t="str">
            <v>GGBM0814</v>
          </cell>
          <cell r="F117">
            <v>3000</v>
          </cell>
          <cell r="G117" t="str">
            <v>HRS.</v>
          </cell>
          <cell r="H117">
            <v>12929.6</v>
          </cell>
          <cell r="I117">
            <v>905.2</v>
          </cell>
          <cell r="J117">
            <v>-12024.4</v>
          </cell>
          <cell r="K117">
            <v>15024.4</v>
          </cell>
          <cell r="L117" t="str">
            <v>LIMITE VIDA</v>
          </cell>
        </row>
        <row r="118">
          <cell r="C118" t="str">
            <v>OIL COOLER BRGS</v>
          </cell>
          <cell r="D118" t="str">
            <v>204-060-448-003</v>
          </cell>
          <cell r="F118">
            <v>1000</v>
          </cell>
          <cell r="G118" t="str">
            <v>HRS.</v>
          </cell>
          <cell r="H118">
            <v>14569.8</v>
          </cell>
          <cell r="I118">
            <v>0</v>
          </cell>
          <cell r="J118">
            <v>-14569.8</v>
          </cell>
          <cell r="K118">
            <v>15569.8</v>
          </cell>
          <cell r="L118" t="str">
            <v>LIMITE VIDA</v>
          </cell>
        </row>
        <row r="119">
          <cell r="C119" t="str">
            <v>ENGINE</v>
          </cell>
          <cell r="D119" t="str">
            <v>T5311B</v>
          </cell>
          <cell r="E119" t="str">
            <v>LE-08143A</v>
          </cell>
          <cell r="F119">
            <v>2000</v>
          </cell>
          <cell r="G119" t="str">
            <v>HRS.</v>
          </cell>
          <cell r="H119">
            <v>14311.8</v>
          </cell>
          <cell r="I119">
            <v>1673.8</v>
          </cell>
          <cell r="J119">
            <v>-12638</v>
          </cell>
          <cell r="K119">
            <v>14638</v>
          </cell>
          <cell r="L119" t="str">
            <v>OVERHAUL</v>
          </cell>
        </row>
        <row r="120">
          <cell r="C120" t="str">
            <v>ENGINE HSI</v>
          </cell>
          <cell r="D120" t="str">
            <v>T5311B</v>
          </cell>
          <cell r="E120" t="str">
            <v>LE-08135</v>
          </cell>
          <cell r="F120">
            <v>1000</v>
          </cell>
          <cell r="G120" t="str">
            <v>HRS.</v>
          </cell>
          <cell r="H120">
            <v>14311.8</v>
          </cell>
          <cell r="I120">
            <v>0</v>
          </cell>
          <cell r="J120">
            <v>-14311.8</v>
          </cell>
          <cell r="K120">
            <v>15311.8</v>
          </cell>
          <cell r="L120" t="str">
            <v>INSPECCION</v>
          </cell>
        </row>
        <row r="121">
          <cell r="C121" t="str">
            <v>STARTER GENERATOR</v>
          </cell>
          <cell r="D121" t="str">
            <v>23064-001</v>
          </cell>
          <cell r="E121">
            <v>6966</v>
          </cell>
          <cell r="F121">
            <v>300</v>
          </cell>
          <cell r="G121" t="str">
            <v>HRS.</v>
          </cell>
          <cell r="H121">
            <v>14534.5</v>
          </cell>
          <cell r="I121">
            <v>0</v>
          </cell>
          <cell r="J121">
            <v>-14534.5</v>
          </cell>
          <cell r="K121">
            <v>14834.5</v>
          </cell>
          <cell r="L121" t="str">
            <v>INSPECCION</v>
          </cell>
        </row>
        <row r="122">
          <cell r="C122" t="str">
            <v>FUEL CONTROL</v>
          </cell>
          <cell r="D122" t="str">
            <v>1-170-240-62</v>
          </cell>
          <cell r="E122" t="str">
            <v>652AL2755</v>
          </cell>
          <cell r="F122">
            <v>3000</v>
          </cell>
          <cell r="G122" t="str">
            <v>HRS.</v>
          </cell>
          <cell r="H122">
            <v>14311.8</v>
          </cell>
          <cell r="I122">
            <v>1673.8</v>
          </cell>
          <cell r="J122">
            <v>-12638</v>
          </cell>
          <cell r="K122">
            <v>15638</v>
          </cell>
          <cell r="L122" t="str">
            <v>OVERHAUL</v>
          </cell>
        </row>
        <row r="123">
          <cell r="C123" t="str">
            <v>GOVERNOR</v>
          </cell>
          <cell r="D123" t="str">
            <v>1-160-850-23</v>
          </cell>
          <cell r="E123" t="str">
            <v>12AM17573</v>
          </cell>
          <cell r="F123">
            <v>3000</v>
          </cell>
          <cell r="G123" t="str">
            <v>HRS.</v>
          </cell>
          <cell r="H123">
            <v>14311.8</v>
          </cell>
          <cell r="I123">
            <v>703.6</v>
          </cell>
          <cell r="J123">
            <v>-13608.199999999999</v>
          </cell>
          <cell r="K123">
            <v>16608.199999999997</v>
          </cell>
          <cell r="L123" t="str">
            <v>OVERHAUL</v>
          </cell>
        </row>
        <row r="129">
          <cell r="C129" t="str">
            <v>ITEMS CON CALENDAR LIMITS</v>
          </cell>
        </row>
        <row r="131">
          <cell r="C131" t="str">
            <v>PITOT STATIC</v>
          </cell>
          <cell r="F131">
            <v>2</v>
          </cell>
          <cell r="G131" t="str">
            <v>YEAR</v>
          </cell>
          <cell r="H131">
            <v>35587</v>
          </cell>
          <cell r="I131">
            <v>0</v>
          </cell>
          <cell r="J131">
            <v>0</v>
          </cell>
          <cell r="K131">
            <v>36317</v>
          </cell>
          <cell r="L131" t="str">
            <v>INSPECCION</v>
          </cell>
        </row>
        <row r="132">
          <cell r="C132" t="str">
            <v>TRANSPONDER</v>
          </cell>
          <cell r="F132">
            <v>2</v>
          </cell>
          <cell r="G132" t="str">
            <v>YEAR</v>
          </cell>
          <cell r="H132">
            <v>35587</v>
          </cell>
          <cell r="I132">
            <v>0</v>
          </cell>
          <cell r="J132">
            <v>0</v>
          </cell>
          <cell r="K132">
            <v>36317</v>
          </cell>
          <cell r="L132" t="str">
            <v>INSPECCION</v>
          </cell>
        </row>
        <row r="133">
          <cell r="C133" t="str">
            <v>ENCODER</v>
          </cell>
          <cell r="F133">
            <v>2</v>
          </cell>
          <cell r="G133" t="str">
            <v>YEAR</v>
          </cell>
          <cell r="H133">
            <v>35587</v>
          </cell>
          <cell r="I133">
            <v>0</v>
          </cell>
          <cell r="J133">
            <v>0</v>
          </cell>
          <cell r="K133">
            <v>36317</v>
          </cell>
          <cell r="L133" t="str">
            <v>INSPECCION</v>
          </cell>
        </row>
        <row r="134">
          <cell r="C134" t="str">
            <v>ALTIMETER</v>
          </cell>
          <cell r="F134">
            <v>2</v>
          </cell>
          <cell r="G134" t="str">
            <v>YEAR</v>
          </cell>
          <cell r="H134">
            <v>35587</v>
          </cell>
          <cell r="I134">
            <v>0</v>
          </cell>
          <cell r="J134">
            <v>0</v>
          </cell>
          <cell r="K134">
            <v>36317</v>
          </cell>
          <cell r="L134" t="str">
            <v>INSPECCION</v>
          </cell>
        </row>
        <row r="135">
          <cell r="C135" t="str">
            <v>FIRE EXTINGUISHER</v>
          </cell>
          <cell r="D135" t="str">
            <v>REAR PILOT</v>
          </cell>
          <cell r="F135">
            <v>1</v>
          </cell>
          <cell r="G135" t="str">
            <v>YEAR</v>
          </cell>
          <cell r="H135">
            <v>35914</v>
          </cell>
          <cell r="I135">
            <v>0</v>
          </cell>
          <cell r="J135">
            <v>0</v>
          </cell>
          <cell r="K135">
            <v>36279</v>
          </cell>
          <cell r="L135" t="str">
            <v>INSPECCION</v>
          </cell>
        </row>
        <row r="136">
          <cell r="C136" t="str">
            <v>FIRE EXTINGUISHER</v>
          </cell>
          <cell r="D136" t="str">
            <v>REAR COPILOT</v>
          </cell>
          <cell r="F136">
            <v>1</v>
          </cell>
          <cell r="G136" t="str">
            <v>YEAR</v>
          </cell>
          <cell r="H136">
            <v>35914</v>
          </cell>
          <cell r="I136">
            <v>0</v>
          </cell>
          <cell r="J136">
            <v>0</v>
          </cell>
          <cell r="K136">
            <v>36279</v>
          </cell>
          <cell r="L136" t="str">
            <v>INSPECCION</v>
          </cell>
        </row>
        <row r="137">
          <cell r="C137" t="str">
            <v>FIRS AID KIT</v>
          </cell>
          <cell r="F137">
            <v>1</v>
          </cell>
          <cell r="G137" t="str">
            <v>YEAR</v>
          </cell>
          <cell r="H137">
            <v>35914</v>
          </cell>
          <cell r="I137">
            <v>0</v>
          </cell>
          <cell r="J137">
            <v>0</v>
          </cell>
          <cell r="K137">
            <v>36279</v>
          </cell>
          <cell r="L137" t="str">
            <v>INSPECCION</v>
          </cell>
        </row>
        <row r="138">
          <cell r="C138" t="str">
            <v>ELT</v>
          </cell>
          <cell r="D138" t="str">
            <v>ELT-10</v>
          </cell>
          <cell r="E138">
            <v>42376</v>
          </cell>
          <cell r="F138">
            <v>1</v>
          </cell>
          <cell r="G138" t="str">
            <v>YEAR</v>
          </cell>
          <cell r="H138">
            <v>35886</v>
          </cell>
          <cell r="I138">
            <v>0</v>
          </cell>
          <cell r="J138">
            <v>0</v>
          </cell>
          <cell r="K138">
            <v>36251</v>
          </cell>
          <cell r="L138" t="str">
            <v>INSPECCION</v>
          </cell>
        </row>
        <row r="139">
          <cell r="C139" t="str">
            <v>ELT BATTERY</v>
          </cell>
          <cell r="F139">
            <v>2</v>
          </cell>
          <cell r="G139" t="str">
            <v>YEAR</v>
          </cell>
          <cell r="H139">
            <v>35551</v>
          </cell>
          <cell r="I139">
            <v>0</v>
          </cell>
          <cell r="J139">
            <v>0</v>
          </cell>
          <cell r="K139">
            <v>36281</v>
          </cell>
          <cell r="L139" t="str">
            <v>INSPECCION</v>
          </cell>
        </row>
        <row r="140">
          <cell r="C140" t="str">
            <v>LEAD ACID BATTERY</v>
          </cell>
          <cell r="F140">
            <v>1</v>
          </cell>
          <cell r="G140" t="str">
            <v>YEAR</v>
          </cell>
          <cell r="H140">
            <v>35888</v>
          </cell>
          <cell r="I140">
            <v>0</v>
          </cell>
          <cell r="J140">
            <v>0</v>
          </cell>
          <cell r="K140">
            <v>36253</v>
          </cell>
          <cell r="L140" t="str">
            <v>INSPECCION</v>
          </cell>
        </row>
        <row r="141">
          <cell r="C141" t="str">
            <v>LEAD ACID BATTERY</v>
          </cell>
          <cell r="F141">
            <v>300</v>
          </cell>
          <cell r="G141" t="str">
            <v>HRS.</v>
          </cell>
          <cell r="H141">
            <v>14569.8</v>
          </cell>
          <cell r="I141">
            <v>0</v>
          </cell>
          <cell r="J141">
            <v>-14569.8</v>
          </cell>
          <cell r="K141">
            <v>14869.8</v>
          </cell>
          <cell r="L141" t="str">
            <v>INSPECCION</v>
          </cell>
        </row>
        <row r="142">
          <cell r="C142" t="str">
            <v>CARGO HOOK</v>
          </cell>
          <cell r="D142" t="str">
            <v>204-072-915-025</v>
          </cell>
          <cell r="E142" t="str">
            <v>EA-87-3</v>
          </cell>
          <cell r="F142">
            <v>3</v>
          </cell>
          <cell r="G142" t="str">
            <v>YEAR</v>
          </cell>
          <cell r="H142">
            <v>35582</v>
          </cell>
          <cell r="I142">
            <v>0</v>
          </cell>
          <cell r="J142">
            <v>0</v>
          </cell>
          <cell r="K142">
            <v>36677</v>
          </cell>
          <cell r="L142" t="str">
            <v>INSPECCION</v>
          </cell>
        </row>
        <row r="143">
          <cell r="C143" t="str">
            <v>RADIO LICENCE</v>
          </cell>
          <cell r="F143">
            <v>1</v>
          </cell>
          <cell r="G143" t="str">
            <v>YEAR</v>
          </cell>
          <cell r="H143">
            <v>35885</v>
          </cell>
          <cell r="I143">
            <v>0</v>
          </cell>
          <cell r="J143">
            <v>0</v>
          </cell>
          <cell r="K143">
            <v>36250</v>
          </cell>
          <cell r="L143" t="str">
            <v>INSPECCION</v>
          </cell>
        </row>
        <row r="144">
          <cell r="C144" t="str">
            <v>COMPAS SWING</v>
          </cell>
          <cell r="F144">
            <v>1</v>
          </cell>
          <cell r="G144" t="str">
            <v>YEAR</v>
          </cell>
          <cell r="H144">
            <v>35914</v>
          </cell>
          <cell r="I144">
            <v>0</v>
          </cell>
          <cell r="J144">
            <v>0</v>
          </cell>
          <cell r="K144">
            <v>36279</v>
          </cell>
          <cell r="L144" t="str">
            <v>INSPECCION</v>
          </cell>
        </row>
        <row r="145">
          <cell r="C145" t="str">
            <v>LIFE VEST</v>
          </cell>
          <cell r="F145">
            <v>1</v>
          </cell>
          <cell r="G145" t="str">
            <v>YEAR</v>
          </cell>
          <cell r="I145">
            <v>0</v>
          </cell>
          <cell r="J145">
            <v>0</v>
          </cell>
          <cell r="L145" t="str">
            <v>INSPECCION</v>
          </cell>
        </row>
        <row r="146">
          <cell r="C146" t="str">
            <v>AAIR</v>
          </cell>
          <cell r="F146">
            <v>1</v>
          </cell>
          <cell r="G146" t="str">
            <v>YEAR</v>
          </cell>
          <cell r="H146">
            <v>35815</v>
          </cell>
          <cell r="I146">
            <v>0</v>
          </cell>
          <cell r="J146">
            <v>0</v>
          </cell>
          <cell r="K146">
            <v>36180</v>
          </cell>
          <cell r="L146" t="str">
            <v>INSPECCION</v>
          </cell>
        </row>
        <row r="147">
          <cell r="C147" t="str">
            <v>SURVIVAL GEAR</v>
          </cell>
          <cell r="F147">
            <v>1</v>
          </cell>
          <cell r="G147" t="str">
            <v>YEAR</v>
          </cell>
          <cell r="H147">
            <v>35914</v>
          </cell>
          <cell r="I147">
            <v>0</v>
          </cell>
          <cell r="J147">
            <v>0</v>
          </cell>
          <cell r="K147">
            <v>36279</v>
          </cell>
          <cell r="L147" t="str">
            <v>INSPECCION</v>
          </cell>
        </row>
        <row r="148">
          <cell r="C148" t="str">
            <v>FIRE BOTTLE</v>
          </cell>
          <cell r="F148">
            <v>5</v>
          </cell>
          <cell r="G148" t="str">
            <v>YEAR</v>
          </cell>
          <cell r="H148">
            <v>35521</v>
          </cell>
          <cell r="I148">
            <v>0</v>
          </cell>
          <cell r="J148">
            <v>0</v>
          </cell>
          <cell r="K148">
            <v>37346</v>
          </cell>
          <cell r="L148" t="str">
            <v>INSPECCION</v>
          </cell>
        </row>
        <row r="149">
          <cell r="C149" t="str">
            <v>SQUIB</v>
          </cell>
          <cell r="D149" t="str">
            <v>13083-5</v>
          </cell>
          <cell r="E149" t="str">
            <v>ESD93C005005</v>
          </cell>
          <cell r="F149">
            <v>4</v>
          </cell>
          <cell r="G149" t="str">
            <v>YEAR</v>
          </cell>
          <cell r="H149">
            <v>35521</v>
          </cell>
          <cell r="I149">
            <v>0</v>
          </cell>
          <cell r="J149">
            <v>0</v>
          </cell>
          <cell r="K149">
            <v>36981</v>
          </cell>
          <cell r="L149" t="str">
            <v>INSPECCION</v>
          </cell>
        </row>
        <row r="150">
          <cell r="C150" t="str">
            <v>EMERGENCY EXIT CHK</v>
          </cell>
          <cell r="D150" t="str">
            <v>AD-CF91-27-PB</v>
          </cell>
          <cell r="F150">
            <v>1</v>
          </cell>
          <cell r="G150" t="str">
            <v>YEAR</v>
          </cell>
          <cell r="H150">
            <v>36097</v>
          </cell>
          <cell r="I150">
            <v>0</v>
          </cell>
          <cell r="J150">
            <v>0</v>
          </cell>
          <cell r="K150">
            <v>36462</v>
          </cell>
          <cell r="L150" t="str">
            <v>INSPECCION</v>
          </cell>
        </row>
        <row r="151">
          <cell r="C151" t="str">
            <v>AFT FACING SEAT</v>
          </cell>
          <cell r="D151" t="str">
            <v>AD-CF-91-29R</v>
          </cell>
          <cell r="F151">
            <v>1</v>
          </cell>
          <cell r="G151" t="str">
            <v>YEAR</v>
          </cell>
          <cell r="H151">
            <v>36097</v>
          </cell>
          <cell r="I151">
            <v>0</v>
          </cell>
          <cell r="J151">
            <v>0</v>
          </cell>
          <cell r="K151">
            <v>36462</v>
          </cell>
          <cell r="L151" t="str">
            <v>INSPECCION</v>
          </cell>
        </row>
        <row r="152">
          <cell r="C152" t="str">
            <v>EMERGENCY ESCAPE</v>
          </cell>
          <cell r="D152" t="str">
            <v>AD-CF-90-06</v>
          </cell>
          <cell r="F152">
            <v>1</v>
          </cell>
          <cell r="G152" t="str">
            <v>YEAR</v>
          </cell>
          <cell r="H152">
            <v>36097</v>
          </cell>
          <cell r="I152">
            <v>0</v>
          </cell>
          <cell r="J152">
            <v>0</v>
          </cell>
          <cell r="K152">
            <v>36462</v>
          </cell>
          <cell r="L152" t="str">
            <v>INSPECCION</v>
          </cell>
        </row>
        <row r="153">
          <cell r="C153" t="str">
            <v>MAIN ROTOR BLADE</v>
          </cell>
          <cell r="D153" t="str">
            <v>AD 75-26-06</v>
          </cell>
          <cell r="F153">
            <v>1</v>
          </cell>
          <cell r="G153" t="str">
            <v>YEAR</v>
          </cell>
          <cell r="H153">
            <v>36097</v>
          </cell>
          <cell r="I153">
            <v>0</v>
          </cell>
          <cell r="J153">
            <v>0</v>
          </cell>
          <cell r="K153">
            <v>36462</v>
          </cell>
          <cell r="L153" t="str">
            <v>INSPECCION</v>
          </cell>
        </row>
        <row r="154">
          <cell r="C154" t="str">
            <v>MAIN ROTOR STRAP PINS</v>
          </cell>
          <cell r="D154" t="str">
            <v>AD-CF-88-23R1</v>
          </cell>
          <cell r="F154">
            <v>2</v>
          </cell>
          <cell r="G154" t="str">
            <v>YEAR</v>
          </cell>
          <cell r="H154">
            <v>35916</v>
          </cell>
          <cell r="I154">
            <v>0</v>
          </cell>
          <cell r="J154">
            <v>0</v>
          </cell>
          <cell r="K154">
            <v>36646</v>
          </cell>
          <cell r="L154" t="str">
            <v>INSPECCION</v>
          </cell>
        </row>
        <row r="155">
          <cell r="C155" t="str">
            <v>MAIN ROTOR YOKE</v>
          </cell>
          <cell r="D155" t="str">
            <v>AD-CF-90-16R3 P4</v>
          </cell>
          <cell r="F155">
            <v>2</v>
          </cell>
          <cell r="G155" t="str">
            <v>YEAR</v>
          </cell>
          <cell r="H155">
            <v>35916</v>
          </cell>
          <cell r="I155">
            <v>0</v>
          </cell>
          <cell r="J155">
            <v>0</v>
          </cell>
          <cell r="K155">
            <v>36646</v>
          </cell>
          <cell r="L155" t="str">
            <v>INSPECCION</v>
          </cell>
        </row>
        <row r="156">
          <cell r="C156" t="str">
            <v>T/R BLADE WEEKLY</v>
          </cell>
          <cell r="D156" t="str">
            <v>AD 96-12-25</v>
          </cell>
          <cell r="E156" t="str">
            <v>N/A POR S/N</v>
          </cell>
          <cell r="G156" t="str">
            <v>YEAR</v>
          </cell>
          <cell r="I156">
            <v>0</v>
          </cell>
          <cell r="J156">
            <v>0</v>
          </cell>
          <cell r="L156" t="str">
            <v>INSPECCION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GEAW"/>
      <sheetName val="CELULA"/>
      <sheetName val="Hoja3"/>
      <sheetName val="C-FAHA"/>
      <sheetName val="MOTOR 1"/>
    </sheetNames>
    <sheetDataSet>
      <sheetData sheetId="0"/>
      <sheetData sheetId="1">
        <row r="64">
          <cell r="C64" t="str">
            <v>OUTER RING</v>
          </cell>
          <cell r="D64" t="str">
            <v>204-011-403-001</v>
          </cell>
          <cell r="E64" t="str">
            <v>RE-1675</v>
          </cell>
          <cell r="F64">
            <v>9000</v>
          </cell>
          <cell r="G64" t="str">
            <v>HRS</v>
          </cell>
          <cell r="H64">
            <v>17036</v>
          </cell>
          <cell r="I64">
            <v>4643.3</v>
          </cell>
          <cell r="J64">
            <v>5269.3999999999987</v>
          </cell>
          <cell r="K64">
            <v>3730.6000000000013</v>
          </cell>
          <cell r="L64" t="str">
            <v>LIMITE VIDA</v>
          </cell>
        </row>
        <row r="65">
          <cell r="C65" t="str">
            <v>GIMBAL RING</v>
          </cell>
          <cell r="D65" t="str">
            <v>204-011-404-001</v>
          </cell>
          <cell r="E65" t="str">
            <v>RE-2064</v>
          </cell>
          <cell r="F65">
            <v>9000</v>
          </cell>
          <cell r="G65" t="str">
            <v>HRS</v>
          </cell>
          <cell r="H65">
            <v>14543</v>
          </cell>
          <cell r="I65">
            <v>4442.3999999999996</v>
          </cell>
          <cell r="J65">
            <v>7561.4999999999982</v>
          </cell>
          <cell r="K65">
            <v>1438.5000000000018</v>
          </cell>
          <cell r="L65" t="str">
            <v>LIMITE VIDA</v>
          </cell>
        </row>
        <row r="66">
          <cell r="C66" t="str">
            <v>GIMBAL RING BOLTS</v>
          </cell>
          <cell r="D66" t="str">
            <v>204-011-463-001</v>
          </cell>
          <cell r="E66" t="str">
            <v>AIFS-19751</v>
          </cell>
          <cell r="F66">
            <v>1000</v>
          </cell>
          <cell r="G66" t="str">
            <v>HRS</v>
          </cell>
          <cell r="H66">
            <v>17179.400000000001</v>
          </cell>
          <cell r="I66">
            <v>0</v>
          </cell>
          <cell r="J66">
            <v>482.69999999999709</v>
          </cell>
          <cell r="K66">
            <v>517.30000000000291</v>
          </cell>
          <cell r="L66" t="str">
            <v>LIMITE VIDA</v>
          </cell>
        </row>
        <row r="67">
          <cell r="C67" t="str">
            <v>GIMBAL RING BOLTS</v>
          </cell>
          <cell r="D67" t="str">
            <v>204-011-463-001</v>
          </cell>
          <cell r="E67" t="str">
            <v>AIFS-19577</v>
          </cell>
          <cell r="F67">
            <v>1000</v>
          </cell>
          <cell r="G67" t="str">
            <v>HRS</v>
          </cell>
          <cell r="H67">
            <v>17179.400000000001</v>
          </cell>
          <cell r="I67">
            <v>0</v>
          </cell>
          <cell r="J67">
            <v>482.69999999999709</v>
          </cell>
          <cell r="K67">
            <v>517.30000000000291</v>
          </cell>
          <cell r="L67" t="str">
            <v>LIMITE VIDA</v>
          </cell>
        </row>
        <row r="68">
          <cell r="C68" t="str">
            <v>GIMBAL RING BOLTS</v>
          </cell>
          <cell r="D68" t="str">
            <v>204-011-463-003</v>
          </cell>
          <cell r="E68" t="str">
            <v>AIFS-16428</v>
          </cell>
          <cell r="F68">
            <v>1000</v>
          </cell>
          <cell r="G68" t="str">
            <v>HRS</v>
          </cell>
          <cell r="H68">
            <v>17179.400000000001</v>
          </cell>
          <cell r="I68">
            <v>0</v>
          </cell>
          <cell r="J68">
            <v>482.69999999999709</v>
          </cell>
          <cell r="K68">
            <v>517.30000000000291</v>
          </cell>
          <cell r="L68" t="str">
            <v>LIMITE VIDA</v>
          </cell>
        </row>
        <row r="69">
          <cell r="C69" t="str">
            <v>GIMBAL RING BOLTS</v>
          </cell>
          <cell r="D69" t="str">
            <v>204-011-463-003</v>
          </cell>
          <cell r="E69" t="str">
            <v>AIFS-17138</v>
          </cell>
          <cell r="F69">
            <v>1000</v>
          </cell>
          <cell r="G69" t="str">
            <v>HRS</v>
          </cell>
          <cell r="H69">
            <v>17179.400000000001</v>
          </cell>
          <cell r="I69">
            <v>0</v>
          </cell>
          <cell r="J69">
            <v>482.69999999999709</v>
          </cell>
          <cell r="K69">
            <v>517.30000000000291</v>
          </cell>
          <cell r="L69" t="str">
            <v>LIMITE VIDA</v>
          </cell>
        </row>
        <row r="70">
          <cell r="C70" t="str">
            <v>SCSISORS  SLEEVE ASSY</v>
          </cell>
          <cell r="D70" t="str">
            <v>204-011-401-123</v>
          </cell>
          <cell r="E70" t="str">
            <v>RR19-0789</v>
          </cell>
          <cell r="F70" t="str">
            <v>OC</v>
          </cell>
          <cell r="H70">
            <v>17035</v>
          </cell>
          <cell r="I70">
            <v>0</v>
          </cell>
          <cell r="J70">
            <v>627.09999999999854</v>
          </cell>
          <cell r="K70" t="str">
            <v>OC</v>
          </cell>
          <cell r="L70" t="str">
            <v>ON CONDITION</v>
          </cell>
        </row>
        <row r="71">
          <cell r="C71" t="str">
            <v>SCSISOR HUB</v>
          </cell>
          <cell r="D71" t="str">
            <v>204-011-405-013</v>
          </cell>
          <cell r="E71" t="str">
            <v>RR19-1879</v>
          </cell>
          <cell r="F71">
            <v>9000</v>
          </cell>
          <cell r="G71" t="str">
            <v>HRS.</v>
          </cell>
          <cell r="H71">
            <v>17035</v>
          </cell>
          <cell r="I71">
            <v>2345.9</v>
          </cell>
          <cell r="J71">
            <v>2972.9999999999986</v>
          </cell>
          <cell r="K71">
            <v>6027.0000000000018</v>
          </cell>
          <cell r="L71" t="str">
            <v>LIMITE VIDA</v>
          </cell>
        </row>
        <row r="72">
          <cell r="C72" t="str">
            <v>COLLECTIVE SLEEVE</v>
          </cell>
          <cell r="D72" t="str">
            <v>204-011-408-105</v>
          </cell>
          <cell r="E72" t="str">
            <v>MWFS33</v>
          </cell>
          <cell r="F72">
            <v>9000</v>
          </cell>
          <cell r="G72" t="str">
            <v>HRS</v>
          </cell>
          <cell r="H72">
            <v>17035</v>
          </cell>
          <cell r="I72">
            <v>0</v>
          </cell>
          <cell r="J72">
            <v>627.09999999999854</v>
          </cell>
          <cell r="K72">
            <v>8372.9000000000015</v>
          </cell>
          <cell r="L72" t="str">
            <v>LIMITE VIDA</v>
          </cell>
        </row>
        <row r="73">
          <cell r="C73" t="str">
            <v>S/PLATE DRIVE LINK</v>
          </cell>
          <cell r="D73" t="str">
            <v>204-011-407-001</v>
          </cell>
          <cell r="E73" t="str">
            <v>EA-996</v>
          </cell>
          <cell r="F73">
            <v>9000</v>
          </cell>
          <cell r="G73" t="str">
            <v>HRS</v>
          </cell>
          <cell r="H73">
            <v>17035</v>
          </cell>
          <cell r="I73">
            <v>0</v>
          </cell>
          <cell r="J73">
            <v>627.09999999999854</v>
          </cell>
          <cell r="K73">
            <v>8372.9000000000015</v>
          </cell>
          <cell r="L73" t="str">
            <v>LIMITE VIDA</v>
          </cell>
        </row>
        <row r="74">
          <cell r="C74" t="str">
            <v>S/PLATE DRIVE LINK</v>
          </cell>
          <cell r="D74" t="str">
            <v>204-011-407-001</v>
          </cell>
          <cell r="E74" t="str">
            <v>EA-1112</v>
          </cell>
          <cell r="F74">
            <v>9000</v>
          </cell>
          <cell r="G74" t="str">
            <v>HRS</v>
          </cell>
          <cell r="H74">
            <v>17035</v>
          </cell>
          <cell r="I74">
            <v>0</v>
          </cell>
          <cell r="J74">
            <v>627.09999999999854</v>
          </cell>
          <cell r="K74">
            <v>8372.9000000000015</v>
          </cell>
          <cell r="L74" t="str">
            <v>LIMITE VIDA</v>
          </cell>
        </row>
        <row r="75">
          <cell r="C75" t="str">
            <v xml:space="preserve">SCSISOR  </v>
          </cell>
          <cell r="D75" t="str">
            <v>212-010-407-001</v>
          </cell>
          <cell r="F75" t="str">
            <v>OC</v>
          </cell>
          <cell r="H75">
            <v>17035</v>
          </cell>
          <cell r="I75">
            <v>0</v>
          </cell>
          <cell r="K75" t="str">
            <v>OC</v>
          </cell>
          <cell r="L75" t="str">
            <v>ON CONDITION</v>
          </cell>
        </row>
        <row r="76">
          <cell r="C76" t="str">
            <v xml:space="preserve">SCSISOR </v>
          </cell>
          <cell r="D76" t="str">
            <v>212-010-407-001</v>
          </cell>
          <cell r="F76" t="str">
            <v>OC</v>
          </cell>
          <cell r="H76">
            <v>17035</v>
          </cell>
          <cell r="I76">
            <v>0</v>
          </cell>
          <cell r="K76" t="str">
            <v>OC</v>
          </cell>
          <cell r="L76" t="str">
            <v>ON CONDITION</v>
          </cell>
        </row>
        <row r="77">
          <cell r="C77" t="str">
            <v>COLLECTIVE LEVER</v>
          </cell>
          <cell r="D77" t="str">
            <v>212-010-403-005</v>
          </cell>
          <cell r="E77" t="str">
            <v>TR1336</v>
          </cell>
          <cell r="F77" t="str">
            <v>OC</v>
          </cell>
          <cell r="H77">
            <v>17179.400000000001</v>
          </cell>
          <cell r="I77">
            <v>0</v>
          </cell>
          <cell r="K77" t="str">
            <v>OC</v>
          </cell>
          <cell r="L77" t="str">
            <v>ON CONDITION</v>
          </cell>
        </row>
        <row r="78">
          <cell r="C78" t="str">
            <v>COLLECTIVE LEVER</v>
          </cell>
          <cell r="D78" t="str">
            <v>212-010-403-005</v>
          </cell>
          <cell r="E78" t="str">
            <v>TR1348</v>
          </cell>
          <cell r="F78" t="str">
            <v>OC</v>
          </cell>
          <cell r="H78">
            <v>17179.400000000001</v>
          </cell>
          <cell r="I78">
            <v>0</v>
          </cell>
          <cell r="K78" t="str">
            <v>OC</v>
          </cell>
          <cell r="L78" t="str">
            <v>ON CONDITION</v>
          </cell>
        </row>
        <row r="79">
          <cell r="C79" t="str">
            <v>SCISSOR TUBE</v>
          </cell>
          <cell r="D79" t="str">
            <v>212-010-404-005</v>
          </cell>
          <cell r="E79" t="str">
            <v>AFS5068</v>
          </cell>
          <cell r="F79">
            <v>9000</v>
          </cell>
          <cell r="G79" t="str">
            <v>HRS</v>
          </cell>
          <cell r="H79">
            <v>13549.5</v>
          </cell>
          <cell r="I79">
            <v>0</v>
          </cell>
          <cell r="J79">
            <v>4112.5999999999985</v>
          </cell>
          <cell r="K79">
            <v>4887.4000000000015</v>
          </cell>
          <cell r="L79" t="str">
            <v>LIMITE VIDA</v>
          </cell>
        </row>
        <row r="80">
          <cell r="C80" t="str">
            <v>SCISSOR TUBE</v>
          </cell>
          <cell r="D80" t="str">
            <v>212-010-404-005</v>
          </cell>
          <cell r="E80" t="str">
            <v>AFS5143</v>
          </cell>
          <cell r="F80">
            <v>9000</v>
          </cell>
          <cell r="G80" t="str">
            <v>HRS</v>
          </cell>
          <cell r="H80">
            <v>13549.5</v>
          </cell>
          <cell r="I80">
            <v>0</v>
          </cell>
          <cell r="J80">
            <v>4112.5999999999985</v>
          </cell>
          <cell r="K80">
            <v>4887.4000000000015</v>
          </cell>
          <cell r="L80" t="str">
            <v>LIMITE VIDA</v>
          </cell>
        </row>
        <row r="81">
          <cell r="C81" t="str">
            <v>TRANSMISSION ASSEMBLY</v>
          </cell>
          <cell r="D81" t="str">
            <v>204-040-009-061</v>
          </cell>
          <cell r="E81" t="str">
            <v>ABU-10782</v>
          </cell>
          <cell r="F81">
            <v>1500</v>
          </cell>
          <cell r="G81" t="str">
            <v>HRS</v>
          </cell>
          <cell r="H81">
            <v>17423.599999999999</v>
          </cell>
          <cell r="I81">
            <v>0</v>
          </cell>
          <cell r="J81">
            <v>238.5</v>
          </cell>
          <cell r="K81">
            <v>1261.5</v>
          </cell>
          <cell r="L81" t="str">
            <v>OVERHAUL</v>
          </cell>
        </row>
        <row r="82">
          <cell r="C82" t="str">
            <v>TRANSMISSION COUPLING</v>
          </cell>
          <cell r="D82" t="str">
            <v>ENGRASE</v>
          </cell>
          <cell r="E82" t="str">
            <v>A12-978</v>
          </cell>
          <cell r="F82">
            <v>600</v>
          </cell>
          <cell r="G82" t="str">
            <v>HRS.</v>
          </cell>
          <cell r="H82">
            <v>17423.599999999999</v>
          </cell>
          <cell r="I82">
            <v>0</v>
          </cell>
          <cell r="J82">
            <v>238.5</v>
          </cell>
          <cell r="K82">
            <v>361.5</v>
          </cell>
          <cell r="L82" t="str">
            <v>REGREASE</v>
          </cell>
        </row>
        <row r="83">
          <cell r="C83" t="str">
            <v>TRANSMISSION COUPLING</v>
          </cell>
          <cell r="D83" t="str">
            <v>ENGRASE</v>
          </cell>
          <cell r="E83" t="str">
            <v>A12-978</v>
          </cell>
          <cell r="F83">
            <v>0.6</v>
          </cell>
          <cell r="G83" t="str">
            <v>YEAR</v>
          </cell>
          <cell r="H83">
            <v>36809</v>
          </cell>
          <cell r="I83">
            <v>0</v>
          </cell>
          <cell r="K83">
            <v>36995</v>
          </cell>
          <cell r="L83" t="str">
            <v>REGREASE</v>
          </cell>
        </row>
        <row r="84">
          <cell r="C84" t="str">
            <v>TRANSMISSION FILTER 3MI</v>
          </cell>
          <cell r="D84" t="str">
            <v>204-040-760-105</v>
          </cell>
          <cell r="F84">
            <v>1</v>
          </cell>
          <cell r="G84" t="str">
            <v>YEAR</v>
          </cell>
          <cell r="H84">
            <v>36809</v>
          </cell>
          <cell r="I84">
            <v>0</v>
          </cell>
          <cell r="K84">
            <v>37119</v>
          </cell>
          <cell r="L84" t="str">
            <v>REGREASE</v>
          </cell>
        </row>
        <row r="85">
          <cell r="C85" t="str">
            <v>TRANSMISSION FILTER 3MI</v>
          </cell>
          <cell r="D85" t="str">
            <v>204-040-760-105</v>
          </cell>
          <cell r="F85">
            <v>750</v>
          </cell>
          <cell r="G85" t="str">
            <v>HRS</v>
          </cell>
          <cell r="H85">
            <v>17624.599999999999</v>
          </cell>
          <cell r="I85">
            <v>0</v>
          </cell>
          <cell r="J85">
            <v>37.5</v>
          </cell>
          <cell r="K85">
            <v>712.5</v>
          </cell>
          <cell r="L85" t="str">
            <v>OVERHAUL</v>
          </cell>
        </row>
        <row r="86">
          <cell r="C86" t="str">
            <v>MAST ASSY</v>
          </cell>
          <cell r="D86" t="str">
            <v>204-040-366-017</v>
          </cell>
          <cell r="E86" t="str">
            <v>A12-11581</v>
          </cell>
          <cell r="F86">
            <v>2500</v>
          </cell>
          <cell r="G86" t="str">
            <v>HRS</v>
          </cell>
          <cell r="H86">
            <v>17503</v>
          </cell>
          <cell r="I86">
            <v>0</v>
          </cell>
          <cell r="J86">
            <v>159.09999999999854</v>
          </cell>
          <cell r="K86">
            <v>2340.9000000000015</v>
          </cell>
          <cell r="L86" t="str">
            <v>OVERHAUL</v>
          </cell>
        </row>
        <row r="87">
          <cell r="C87" t="str">
            <v>MAST</v>
          </cell>
          <cell r="D87" t="str">
            <v>204-011-450-105</v>
          </cell>
          <cell r="E87" t="str">
            <v>NFS-52753</v>
          </cell>
          <cell r="F87">
            <v>15000</v>
          </cell>
          <cell r="G87" t="str">
            <v>HRS</v>
          </cell>
          <cell r="H87">
            <v>17035</v>
          </cell>
          <cell r="I87">
            <v>0</v>
          </cell>
          <cell r="J87">
            <v>627.09999999999854</v>
          </cell>
          <cell r="K87">
            <v>14372.900000000001</v>
          </cell>
          <cell r="L87" t="str">
            <v>LIMITE VIDA</v>
          </cell>
        </row>
        <row r="88">
          <cell r="C88" t="str">
            <v>MAST</v>
          </cell>
          <cell r="D88" t="str">
            <v>204-011-450-105</v>
          </cell>
          <cell r="E88" t="str">
            <v>NFS-52753</v>
          </cell>
          <cell r="F88">
            <v>265000</v>
          </cell>
          <cell r="G88" t="str">
            <v>RIN</v>
          </cell>
          <cell r="H88">
            <v>3588</v>
          </cell>
          <cell r="I88">
            <v>0</v>
          </cell>
          <cell r="J88">
            <v>14074.099999999999</v>
          </cell>
          <cell r="K88">
            <v>250925.9</v>
          </cell>
          <cell r="L88" t="str">
            <v>RINES</v>
          </cell>
        </row>
        <row r="89">
          <cell r="C89" t="str">
            <v>MAIN DRIVE SHAFT</v>
          </cell>
          <cell r="D89" t="str">
            <v>205-040-004-101</v>
          </cell>
          <cell r="E89" t="str">
            <v>A2O-4385</v>
          </cell>
          <cell r="F89">
            <v>500</v>
          </cell>
          <cell r="G89" t="str">
            <v>HRS.</v>
          </cell>
          <cell r="H89">
            <v>17624.599999999999</v>
          </cell>
          <cell r="I89">
            <v>0</v>
          </cell>
          <cell r="J89">
            <v>37.5</v>
          </cell>
          <cell r="K89">
            <v>462.5</v>
          </cell>
          <cell r="L89" t="str">
            <v>REGREASE</v>
          </cell>
        </row>
        <row r="90">
          <cell r="C90" t="str">
            <v>MAIN DRIVE SHAFT</v>
          </cell>
          <cell r="D90" t="str">
            <v>205-040-004-101</v>
          </cell>
          <cell r="E90" t="str">
            <v>A2O-4385</v>
          </cell>
          <cell r="F90">
            <v>1</v>
          </cell>
          <cell r="G90" t="str">
            <v>AÑOS</v>
          </cell>
          <cell r="H90">
            <v>36800</v>
          </cell>
          <cell r="I90">
            <v>0</v>
          </cell>
          <cell r="K90">
            <v>37165</v>
          </cell>
          <cell r="L90" t="str">
            <v>REGREASE</v>
          </cell>
        </row>
        <row r="91">
          <cell r="C91" t="str">
            <v>T/R HANGER ASSY</v>
          </cell>
          <cell r="D91" t="str">
            <v>204-040-600-009</v>
          </cell>
          <cell r="E91" t="str">
            <v>EAG-85</v>
          </cell>
          <cell r="F91">
            <v>1000</v>
          </cell>
          <cell r="G91" t="str">
            <v>HRS</v>
          </cell>
          <cell r="H91">
            <v>17423.599999999999</v>
          </cell>
          <cell r="I91">
            <v>0</v>
          </cell>
          <cell r="J91">
            <v>238.5</v>
          </cell>
          <cell r="K91">
            <v>761.5</v>
          </cell>
          <cell r="L91" t="str">
            <v>OVERHAUL</v>
          </cell>
        </row>
        <row r="92">
          <cell r="C92" t="str">
            <v>T/R HANGER BEARING</v>
          </cell>
          <cell r="D92" t="str">
            <v>204-040-623-005</v>
          </cell>
          <cell r="E92" t="str">
            <v>ZV-8193</v>
          </cell>
          <cell r="F92">
            <v>1000</v>
          </cell>
          <cell r="G92" t="str">
            <v>HRS</v>
          </cell>
          <cell r="H92">
            <v>17168.3</v>
          </cell>
          <cell r="I92">
            <v>0</v>
          </cell>
          <cell r="J92">
            <v>493.79999999999927</v>
          </cell>
          <cell r="K92">
            <v>506.20000000000073</v>
          </cell>
          <cell r="L92" t="str">
            <v>LIMITE VIDA</v>
          </cell>
        </row>
        <row r="93">
          <cell r="C93" t="str">
            <v>T/R HANGER ASSY</v>
          </cell>
          <cell r="D93" t="str">
            <v>204-040-600-009</v>
          </cell>
          <cell r="E93" t="str">
            <v>A20-80376</v>
          </cell>
          <cell r="F93">
            <v>1000</v>
          </cell>
          <cell r="G93" t="str">
            <v>HRS</v>
          </cell>
          <cell r="H93">
            <v>17168.3</v>
          </cell>
          <cell r="I93">
            <v>0</v>
          </cell>
          <cell r="J93">
            <v>493.79999999999927</v>
          </cell>
          <cell r="K93">
            <v>506.20000000000073</v>
          </cell>
          <cell r="L93" t="str">
            <v>OVERHAUL</v>
          </cell>
        </row>
        <row r="94">
          <cell r="C94" t="str">
            <v>T/R HANGER BEARING</v>
          </cell>
          <cell r="D94" t="str">
            <v>204-040-623-005</v>
          </cell>
          <cell r="E94" t="str">
            <v>ZV-8197</v>
          </cell>
          <cell r="F94">
            <v>1000</v>
          </cell>
          <cell r="G94" t="str">
            <v>HRS</v>
          </cell>
          <cell r="H94">
            <v>17168.3</v>
          </cell>
          <cell r="I94">
            <v>0</v>
          </cell>
          <cell r="J94">
            <v>493.79999999999927</v>
          </cell>
          <cell r="K94">
            <v>506.20000000000073</v>
          </cell>
          <cell r="L94" t="str">
            <v>LIMITE VIDA</v>
          </cell>
        </row>
        <row r="95">
          <cell r="C95" t="str">
            <v>T/R HANGER ASSY</v>
          </cell>
          <cell r="D95" t="str">
            <v>204-040-600-009</v>
          </cell>
          <cell r="E95" t="str">
            <v>A20-80223</v>
          </cell>
          <cell r="F95">
            <v>1000</v>
          </cell>
          <cell r="G95" t="str">
            <v>HRS</v>
          </cell>
          <cell r="H95">
            <v>17168.3</v>
          </cell>
          <cell r="I95">
            <v>0</v>
          </cell>
          <cell r="J95">
            <v>493.79999999999927</v>
          </cell>
          <cell r="K95">
            <v>506.20000000000073</v>
          </cell>
          <cell r="L95" t="str">
            <v>OVERHAUL</v>
          </cell>
        </row>
        <row r="96">
          <cell r="C96" t="str">
            <v>T/R HANGER BEARING</v>
          </cell>
          <cell r="D96" t="str">
            <v>204-040-623-005</v>
          </cell>
          <cell r="E96" t="str">
            <v>ZV-8203</v>
          </cell>
          <cell r="F96">
            <v>1000</v>
          </cell>
          <cell r="G96" t="str">
            <v>HRS</v>
          </cell>
          <cell r="H96">
            <v>17168.3</v>
          </cell>
          <cell r="I96">
            <v>0</v>
          </cell>
          <cell r="J96">
            <v>493.79999999999927</v>
          </cell>
          <cell r="K96">
            <v>506.20000000000073</v>
          </cell>
          <cell r="L96" t="str">
            <v>LIMITE VIDA</v>
          </cell>
        </row>
        <row r="97">
          <cell r="C97" t="str">
            <v>T/R HANGER ASSY</v>
          </cell>
          <cell r="D97" t="str">
            <v>204-040-600-009</v>
          </cell>
          <cell r="E97" t="str">
            <v>A20-13036</v>
          </cell>
          <cell r="F97">
            <v>1000</v>
          </cell>
          <cell r="G97" t="str">
            <v>HRS</v>
          </cell>
          <cell r="H97">
            <v>17168.3</v>
          </cell>
          <cell r="I97">
            <v>0</v>
          </cell>
          <cell r="J97">
            <v>493.79999999999927</v>
          </cell>
          <cell r="K97">
            <v>506.20000000000073</v>
          </cell>
          <cell r="L97" t="str">
            <v>OVERHAUL</v>
          </cell>
        </row>
        <row r="98">
          <cell r="C98" t="str">
            <v>T/R HANGER BEARING</v>
          </cell>
          <cell r="D98" t="str">
            <v>204-040-623-005</v>
          </cell>
          <cell r="E98" t="str">
            <v>ZV-8258</v>
          </cell>
          <cell r="F98">
            <v>1000</v>
          </cell>
          <cell r="G98" t="str">
            <v>HRS</v>
          </cell>
          <cell r="H98">
            <v>17168.3</v>
          </cell>
          <cell r="I98">
            <v>0</v>
          </cell>
          <cell r="J98">
            <v>493.79999999999927</v>
          </cell>
          <cell r="K98">
            <v>506.20000000000073</v>
          </cell>
          <cell r="L98" t="str">
            <v>LIMITE VIDA</v>
          </cell>
        </row>
        <row r="99">
          <cell r="C99" t="str">
            <v>T/R HANGER COUPLING</v>
          </cell>
          <cell r="D99" t="str">
            <v>ENGRASE</v>
          </cell>
          <cell r="F99">
            <v>500</v>
          </cell>
          <cell r="G99" t="str">
            <v>HRS</v>
          </cell>
          <cell r="H99">
            <v>17624.599999999999</v>
          </cell>
          <cell r="I99">
            <v>0</v>
          </cell>
          <cell r="J99">
            <v>37.5</v>
          </cell>
          <cell r="K99">
            <v>462.5</v>
          </cell>
          <cell r="L99" t="str">
            <v>LIMITE VIDA</v>
          </cell>
        </row>
        <row r="100">
          <cell r="C100" t="str">
            <v>T/R HANGER COUPLING</v>
          </cell>
          <cell r="D100" t="str">
            <v>ENGRASE</v>
          </cell>
          <cell r="F100">
            <v>0.6</v>
          </cell>
          <cell r="G100" t="str">
            <v>MES</v>
          </cell>
          <cell r="H100">
            <v>36825</v>
          </cell>
          <cell r="K100">
            <v>37044</v>
          </cell>
          <cell r="L100" t="str">
            <v>REGREASE</v>
          </cell>
        </row>
        <row r="101">
          <cell r="C101" t="str">
            <v>T/R HANGER COUPLING</v>
          </cell>
          <cell r="D101" t="str">
            <v>ENGRASE</v>
          </cell>
          <cell r="F101">
            <v>500</v>
          </cell>
          <cell r="G101" t="str">
            <v>HRS</v>
          </cell>
          <cell r="H101">
            <v>17624.599999999999</v>
          </cell>
          <cell r="I101">
            <v>0</v>
          </cell>
          <cell r="J101">
            <v>37.5</v>
          </cell>
          <cell r="K101">
            <v>462.5</v>
          </cell>
          <cell r="L101" t="str">
            <v>REGREASE</v>
          </cell>
        </row>
        <row r="102">
          <cell r="C102" t="str">
            <v>T/R HANGER COUPLING</v>
          </cell>
          <cell r="D102" t="str">
            <v>ENGRASE</v>
          </cell>
          <cell r="F102">
            <v>0.6</v>
          </cell>
          <cell r="G102" t="str">
            <v>MES</v>
          </cell>
          <cell r="H102">
            <v>36825</v>
          </cell>
          <cell r="K102">
            <v>37044</v>
          </cell>
          <cell r="L102" t="str">
            <v>REGREASE</v>
          </cell>
        </row>
        <row r="103">
          <cell r="C103" t="str">
            <v>T/R HANGER COUPLING</v>
          </cell>
          <cell r="D103" t="str">
            <v>ENGRASE</v>
          </cell>
          <cell r="F103">
            <v>500</v>
          </cell>
          <cell r="G103" t="str">
            <v>HRS</v>
          </cell>
          <cell r="H103">
            <v>17624.599999999999</v>
          </cell>
          <cell r="I103">
            <v>0</v>
          </cell>
          <cell r="J103">
            <v>37.5</v>
          </cell>
          <cell r="K103">
            <v>462.5</v>
          </cell>
          <cell r="L103" t="str">
            <v>REGREASE</v>
          </cell>
        </row>
        <row r="105">
          <cell r="C105" t="str">
            <v>FECHA:</v>
          </cell>
          <cell r="D105">
            <v>36945</v>
          </cell>
        </row>
        <row r="106">
          <cell r="C106" t="str">
            <v>HRS.</v>
          </cell>
          <cell r="D106">
            <v>17662.099999999999</v>
          </cell>
        </row>
        <row r="108">
          <cell r="C108" t="str">
            <v>DESCRIPCION</v>
          </cell>
          <cell r="D108" t="str">
            <v>NUMERO</v>
          </cell>
          <cell r="E108" t="str">
            <v>NUMERO</v>
          </cell>
          <cell r="F108" t="str">
            <v>T.B.O.</v>
          </cell>
          <cell r="G108" t="str">
            <v>HORAS</v>
          </cell>
          <cell r="H108" t="str">
            <v>HRS./CYC. A/N</v>
          </cell>
          <cell r="I108" t="str">
            <v>HRS./CYC. COMP.</v>
          </cell>
          <cell r="J108" t="str">
            <v>HRS./CYC. COMP.</v>
          </cell>
          <cell r="K108" t="str">
            <v>HRS./CYC. REM.</v>
          </cell>
          <cell r="L108" t="str">
            <v>ACCION</v>
          </cell>
        </row>
        <row r="109">
          <cell r="C109" t="str">
            <v>COMPONENTE</v>
          </cell>
          <cell r="D109" t="str">
            <v>DE PARTE</v>
          </cell>
          <cell r="E109" t="str">
            <v>DE SERIE</v>
          </cell>
          <cell r="F109" t="str">
            <v>R.T.L.</v>
          </cell>
          <cell r="G109" t="str">
            <v>CICLOS</v>
          </cell>
          <cell r="H109" t="str">
            <v>AL INSTAL.</v>
          </cell>
          <cell r="I109" t="str">
            <v>AL INSTAL.</v>
          </cell>
          <cell r="J109" t="str">
            <v>ACTUALES</v>
          </cell>
          <cell r="K109" t="str">
            <v>COMPO.</v>
          </cell>
          <cell r="L109" t="str">
            <v>REQUERIDA</v>
          </cell>
        </row>
        <row r="110">
          <cell r="C110" t="str">
            <v>T/R HANGER COUPLING</v>
          </cell>
          <cell r="D110" t="str">
            <v>ENGRASE</v>
          </cell>
          <cell r="F110">
            <v>0.6</v>
          </cell>
          <cell r="G110" t="str">
            <v>MES</v>
          </cell>
          <cell r="H110">
            <v>36825</v>
          </cell>
          <cell r="K110">
            <v>37044</v>
          </cell>
          <cell r="L110" t="str">
            <v>REGREASE</v>
          </cell>
        </row>
        <row r="111">
          <cell r="C111" t="str">
            <v>T/R HANGER COUPLING</v>
          </cell>
          <cell r="D111" t="str">
            <v>ENGRASE</v>
          </cell>
          <cell r="F111">
            <v>500</v>
          </cell>
          <cell r="G111" t="str">
            <v>HRS</v>
          </cell>
          <cell r="H111">
            <v>17624.599999999999</v>
          </cell>
          <cell r="I111">
            <v>0</v>
          </cell>
          <cell r="J111">
            <v>37.5</v>
          </cell>
          <cell r="K111">
            <v>462.5</v>
          </cell>
          <cell r="L111" t="str">
            <v>REGREASE</v>
          </cell>
        </row>
        <row r="112">
          <cell r="C112" t="str">
            <v>T/R HANGER COUPLING</v>
          </cell>
          <cell r="D112" t="str">
            <v>ENGRASE</v>
          </cell>
          <cell r="F112">
            <v>0.6</v>
          </cell>
          <cell r="G112" t="str">
            <v>MES</v>
          </cell>
          <cell r="H112">
            <v>36825</v>
          </cell>
          <cell r="K112">
            <v>37044</v>
          </cell>
          <cell r="L112" t="str">
            <v>REGREASE</v>
          </cell>
        </row>
        <row r="113">
          <cell r="C113" t="str">
            <v>42 ° GEARBOX</v>
          </cell>
          <cell r="D113" t="str">
            <v>212-040-003-023</v>
          </cell>
          <cell r="E113" t="str">
            <v>AFS-1038</v>
          </cell>
          <cell r="F113">
            <v>5000</v>
          </cell>
          <cell r="G113" t="str">
            <v>HRS.</v>
          </cell>
          <cell r="H113">
            <v>15326.4</v>
          </cell>
          <cell r="I113">
            <v>0</v>
          </cell>
          <cell r="J113">
            <v>2335.6999999999989</v>
          </cell>
          <cell r="K113">
            <v>2664.3000000000011</v>
          </cell>
          <cell r="L113" t="str">
            <v>OVERHAUL</v>
          </cell>
        </row>
        <row r="114">
          <cell r="C114" t="str">
            <v>42 ° GEARBOX COUPLING</v>
          </cell>
          <cell r="F114">
            <v>600</v>
          </cell>
          <cell r="G114" t="str">
            <v>HRS.</v>
          </cell>
          <cell r="H114">
            <v>17624.599999999999</v>
          </cell>
          <cell r="I114">
            <v>0</v>
          </cell>
          <cell r="J114">
            <v>37.5</v>
          </cell>
          <cell r="K114">
            <v>562.5</v>
          </cell>
          <cell r="L114" t="str">
            <v>REGREASE</v>
          </cell>
        </row>
        <row r="115">
          <cell r="C115" t="str">
            <v>42 ° GEARBOX COUPLING</v>
          </cell>
          <cell r="F115">
            <v>0.6</v>
          </cell>
          <cell r="G115" t="str">
            <v>YEAR</v>
          </cell>
          <cell r="H115">
            <v>36825</v>
          </cell>
          <cell r="I115">
            <v>0</v>
          </cell>
          <cell r="K115">
            <v>37044</v>
          </cell>
          <cell r="L115" t="str">
            <v>REGREASE</v>
          </cell>
        </row>
        <row r="116">
          <cell r="C116" t="str">
            <v>90 ° GEARBOX</v>
          </cell>
          <cell r="D116" t="str">
            <v>204-040-012-013</v>
          </cell>
          <cell r="E116" t="str">
            <v>B13-2134</v>
          </cell>
          <cell r="F116">
            <v>1500</v>
          </cell>
          <cell r="G116" t="str">
            <v>HRS.</v>
          </cell>
          <cell r="H116">
            <v>17624.599999999999</v>
          </cell>
          <cell r="I116">
            <v>0</v>
          </cell>
          <cell r="J116">
            <v>37.5</v>
          </cell>
          <cell r="K116">
            <v>1462.5</v>
          </cell>
          <cell r="L116" t="str">
            <v>OVERHAUL</v>
          </cell>
        </row>
        <row r="117">
          <cell r="C117" t="str">
            <v>90 ° DEGREE G/B SHAFT</v>
          </cell>
          <cell r="D117" t="str">
            <v>204-040-402-009</v>
          </cell>
          <cell r="E117" t="str">
            <v>B13-18338</v>
          </cell>
          <cell r="F117">
            <v>10000</v>
          </cell>
          <cell r="G117" t="str">
            <v>HRS.</v>
          </cell>
          <cell r="H117">
            <v>17624.599999999999</v>
          </cell>
          <cell r="I117">
            <v>0</v>
          </cell>
          <cell r="J117">
            <v>37.5</v>
          </cell>
          <cell r="K117">
            <v>9962.5</v>
          </cell>
          <cell r="L117" t="str">
            <v>OVERHAUL</v>
          </cell>
        </row>
        <row r="118">
          <cell r="C118" t="str">
            <v>90 ° GEARBOX COUPLING</v>
          </cell>
          <cell r="F118">
            <v>0.6</v>
          </cell>
          <cell r="G118" t="str">
            <v>YEAR</v>
          </cell>
          <cell r="H118">
            <v>36800</v>
          </cell>
          <cell r="I118">
            <v>0</v>
          </cell>
          <cell r="K118">
            <v>37019</v>
          </cell>
          <cell r="L118" t="str">
            <v>REGREESE</v>
          </cell>
        </row>
        <row r="119">
          <cell r="C119" t="str">
            <v>90 ° GEARBOX COUPLING</v>
          </cell>
          <cell r="F119">
            <v>500</v>
          </cell>
          <cell r="G119" t="str">
            <v>HRS.</v>
          </cell>
          <cell r="H119">
            <v>17624.599999999999</v>
          </cell>
          <cell r="I119">
            <v>0</v>
          </cell>
          <cell r="J119">
            <v>37.5</v>
          </cell>
          <cell r="K119">
            <v>462.5</v>
          </cell>
          <cell r="L119" t="str">
            <v>LIMITE VIDA</v>
          </cell>
        </row>
        <row r="120">
          <cell r="C120" t="str">
            <v xml:space="preserve">T/R HUB ASSEMBLY </v>
          </cell>
          <cell r="D120" t="str">
            <v>204-011-801-121</v>
          </cell>
          <cell r="E120" t="str">
            <v>ABA-50321</v>
          </cell>
          <cell r="F120">
            <v>1000</v>
          </cell>
          <cell r="G120" t="str">
            <v>HRS.</v>
          </cell>
          <cell r="H120">
            <v>17423.599999999999</v>
          </cell>
          <cell r="I120">
            <v>0</v>
          </cell>
          <cell r="J120">
            <v>238.5</v>
          </cell>
          <cell r="K120">
            <v>761.5</v>
          </cell>
          <cell r="L120" t="str">
            <v>OVERHAUL</v>
          </cell>
        </row>
        <row r="121">
          <cell r="C121" t="str">
            <v>T/R YOKE</v>
          </cell>
          <cell r="D121" t="str">
            <v>204-011-722-5</v>
          </cell>
          <cell r="E121" t="str">
            <v>AFS-4445</v>
          </cell>
          <cell r="F121">
            <v>1000</v>
          </cell>
          <cell r="G121" t="str">
            <v>HRS.</v>
          </cell>
          <cell r="H121">
            <v>17423.599999999999</v>
          </cell>
          <cell r="I121">
            <v>0</v>
          </cell>
          <cell r="J121">
            <v>238.5</v>
          </cell>
          <cell r="K121">
            <v>761.5</v>
          </cell>
          <cell r="L121" t="str">
            <v>LIMITE VIDA</v>
          </cell>
        </row>
        <row r="122">
          <cell r="C122" t="str">
            <v>T/R GRIP</v>
          </cell>
          <cell r="D122" t="str">
            <v>205-011-711-101</v>
          </cell>
          <cell r="E122" t="str">
            <v>AFS-11675</v>
          </cell>
          <cell r="F122">
            <v>2500</v>
          </cell>
          <cell r="G122" t="str">
            <v>HRS.</v>
          </cell>
          <cell r="H122">
            <v>17423.599999999999</v>
          </cell>
          <cell r="I122">
            <v>0</v>
          </cell>
          <cell r="J122">
            <v>238.5</v>
          </cell>
          <cell r="K122">
            <v>2261.5</v>
          </cell>
          <cell r="L122" t="str">
            <v>LIMITE VIDA</v>
          </cell>
        </row>
        <row r="123">
          <cell r="C123" t="str">
            <v>T/R GRIP</v>
          </cell>
          <cell r="D123" t="str">
            <v>205-011-711-101</v>
          </cell>
          <cell r="E123" t="str">
            <v>AFS-11855</v>
          </cell>
          <cell r="F123">
            <v>2500</v>
          </cell>
          <cell r="G123" t="str">
            <v>HRS.</v>
          </cell>
          <cell r="H123">
            <v>17423.599999999999</v>
          </cell>
          <cell r="I123">
            <v>0</v>
          </cell>
          <cell r="J123">
            <v>238.5</v>
          </cell>
          <cell r="K123">
            <v>2261.5</v>
          </cell>
          <cell r="L123" t="str">
            <v>LIMITE VIDA</v>
          </cell>
        </row>
        <row r="124">
          <cell r="C124" t="str">
            <v>TAIL ROTOR BLADE</v>
          </cell>
          <cell r="D124" t="str">
            <v>204-011-702-015</v>
          </cell>
          <cell r="E124" t="str">
            <v>A-21921</v>
          </cell>
          <cell r="F124">
            <v>1000</v>
          </cell>
          <cell r="G124" t="str">
            <v>HRS.</v>
          </cell>
          <cell r="H124">
            <v>17423.599999999999</v>
          </cell>
          <cell r="I124">
            <v>0</v>
          </cell>
          <cell r="J124">
            <v>238.5</v>
          </cell>
          <cell r="K124">
            <v>761.5</v>
          </cell>
          <cell r="L124" t="str">
            <v>LIMITE VIDA</v>
          </cell>
        </row>
        <row r="125">
          <cell r="C125" t="str">
            <v>TAIL ROTOR BLADE</v>
          </cell>
          <cell r="D125" t="str">
            <v>204-011-702-015</v>
          </cell>
          <cell r="E125" t="str">
            <v>A-21878</v>
          </cell>
          <cell r="F125">
            <v>1000</v>
          </cell>
          <cell r="G125" t="str">
            <v>HRS.</v>
          </cell>
          <cell r="H125">
            <v>17423.599999999999</v>
          </cell>
          <cell r="I125">
            <v>0</v>
          </cell>
          <cell r="J125">
            <v>238.5</v>
          </cell>
          <cell r="K125">
            <v>761.5</v>
          </cell>
          <cell r="L125" t="str">
            <v>LIMITE VIDA</v>
          </cell>
        </row>
        <row r="126">
          <cell r="C126" t="str">
            <v>TAIL ROTOR SLIDER</v>
          </cell>
          <cell r="D126" t="str">
            <v>204-010-720-003</v>
          </cell>
          <cell r="E126" t="str">
            <v>MWFS-407</v>
          </cell>
          <cell r="F126" t="str">
            <v>OC</v>
          </cell>
          <cell r="H126">
            <v>15831.4</v>
          </cell>
          <cell r="I126">
            <v>0</v>
          </cell>
          <cell r="J126">
            <v>1592.2</v>
          </cell>
          <cell r="K126" t="str">
            <v>OC</v>
          </cell>
        </row>
        <row r="127">
          <cell r="C127" t="str">
            <v>SERVO ACT- CYCLIC</v>
          </cell>
          <cell r="D127" t="str">
            <v>205-076-038-007</v>
          </cell>
          <cell r="E127">
            <v>55696</v>
          </cell>
          <cell r="F127">
            <v>1500</v>
          </cell>
          <cell r="G127" t="str">
            <v>HRS.</v>
          </cell>
          <cell r="H127">
            <v>16488.599999999999</v>
          </cell>
          <cell r="I127">
            <v>0</v>
          </cell>
          <cell r="J127">
            <v>1173.5</v>
          </cell>
          <cell r="K127">
            <v>326.5</v>
          </cell>
          <cell r="L127" t="str">
            <v>OVERHAUL</v>
          </cell>
        </row>
        <row r="128">
          <cell r="C128" t="str">
            <v>SERVO ACT- CYCLIC</v>
          </cell>
          <cell r="D128" t="str">
            <v>205-076-038-007</v>
          </cell>
          <cell r="E128">
            <v>35027</v>
          </cell>
          <cell r="F128">
            <v>1500</v>
          </cell>
          <cell r="G128" t="str">
            <v>HRS.</v>
          </cell>
          <cell r="H128">
            <v>16488.599999999999</v>
          </cell>
          <cell r="I128">
            <v>0</v>
          </cell>
          <cell r="J128">
            <v>1173.5</v>
          </cell>
          <cell r="K128">
            <v>326.5</v>
          </cell>
          <cell r="L128" t="str">
            <v>OVERHAUL</v>
          </cell>
        </row>
        <row r="129">
          <cell r="C129" t="str">
            <v>SERVO ACT- COLECT</v>
          </cell>
          <cell r="D129" t="str">
            <v>205-076-038-007</v>
          </cell>
          <cell r="E129">
            <v>42193</v>
          </cell>
          <cell r="F129">
            <v>1500</v>
          </cell>
          <cell r="G129" t="str">
            <v>HRS.</v>
          </cell>
          <cell r="H129">
            <v>16488.599999999999</v>
          </cell>
          <cell r="I129">
            <v>0</v>
          </cell>
          <cell r="J129">
            <v>1173.5</v>
          </cell>
          <cell r="K129">
            <v>326.5</v>
          </cell>
          <cell r="L129" t="str">
            <v>OVERHAUL</v>
          </cell>
        </row>
        <row r="130">
          <cell r="C130" t="str">
            <v>T/R SERVO</v>
          </cell>
          <cell r="D130" t="str">
            <v>204-076-053-5</v>
          </cell>
          <cell r="E130">
            <v>3838</v>
          </cell>
          <cell r="F130" t="str">
            <v>OC</v>
          </cell>
          <cell r="H130">
            <v>13549.5</v>
          </cell>
          <cell r="I130">
            <v>0</v>
          </cell>
          <cell r="J130">
            <v>0</v>
          </cell>
          <cell r="K130" t="str">
            <v>OC</v>
          </cell>
          <cell r="L130" t="str">
            <v>CONDICION</v>
          </cell>
        </row>
        <row r="131">
          <cell r="C131" t="str">
            <v>IRREVERSIBLE VALVE</v>
          </cell>
          <cell r="D131" t="str">
            <v>204-076-055-001</v>
          </cell>
          <cell r="E131">
            <v>1495</v>
          </cell>
          <cell r="F131">
            <v>1000</v>
          </cell>
          <cell r="G131" t="str">
            <v>HRS.</v>
          </cell>
          <cell r="H131">
            <v>17423.599999999999</v>
          </cell>
          <cell r="I131">
            <v>0</v>
          </cell>
          <cell r="J131">
            <v>238.5</v>
          </cell>
          <cell r="K131">
            <v>761.5</v>
          </cell>
          <cell r="L131" t="str">
            <v>OVERHAUL</v>
          </cell>
        </row>
        <row r="132">
          <cell r="C132" t="str">
            <v>IRREVERSIBLE VALVE</v>
          </cell>
          <cell r="D132" t="str">
            <v>204-076-055-001</v>
          </cell>
          <cell r="E132">
            <v>11296</v>
          </cell>
          <cell r="F132">
            <v>1000</v>
          </cell>
          <cell r="G132" t="str">
            <v>HRS.</v>
          </cell>
          <cell r="H132">
            <v>17423.599999999999</v>
          </cell>
          <cell r="I132">
            <v>0</v>
          </cell>
          <cell r="J132">
            <v>238.5</v>
          </cell>
          <cell r="K132">
            <v>761.5</v>
          </cell>
          <cell r="L132" t="str">
            <v>OVERHAUL</v>
          </cell>
        </row>
        <row r="133">
          <cell r="C133" t="str">
            <v>IRREVERSIBLE VALVE</v>
          </cell>
          <cell r="D133" t="str">
            <v>204-076-055-001</v>
          </cell>
          <cell r="E133">
            <v>53108</v>
          </cell>
          <cell r="F133">
            <v>1000</v>
          </cell>
          <cell r="G133" t="str">
            <v>HRS.</v>
          </cell>
          <cell r="H133">
            <v>17423.599999999999</v>
          </cell>
          <cell r="I133">
            <v>0</v>
          </cell>
          <cell r="J133">
            <v>238.5</v>
          </cell>
          <cell r="K133">
            <v>761.5</v>
          </cell>
          <cell r="L133" t="str">
            <v>OVERHAUL</v>
          </cell>
        </row>
        <row r="134">
          <cell r="C134" t="str">
            <v>ELEVATOR HORN ASSY</v>
          </cell>
          <cell r="D134" t="str">
            <v>204-001-937-005</v>
          </cell>
          <cell r="E134" t="str">
            <v>JI20-63</v>
          </cell>
          <cell r="F134">
            <v>3000</v>
          </cell>
          <cell r="G134" t="str">
            <v>HRS.</v>
          </cell>
          <cell r="H134">
            <v>16488.599999999999</v>
          </cell>
          <cell r="I134">
            <v>0</v>
          </cell>
          <cell r="J134">
            <v>1173.5</v>
          </cell>
          <cell r="K134">
            <v>1826.5</v>
          </cell>
          <cell r="L134" t="str">
            <v>LIMITE VIDA</v>
          </cell>
        </row>
        <row r="135">
          <cell r="C135" t="str">
            <v>ELEVATOR LH</v>
          </cell>
          <cell r="D135" t="str">
            <v>204-030-858-53</v>
          </cell>
          <cell r="E135" t="str">
            <v>971029EA</v>
          </cell>
          <cell r="F135">
            <v>3000</v>
          </cell>
          <cell r="G135" t="str">
            <v>HRS.</v>
          </cell>
          <cell r="H135">
            <v>16488.599999999999</v>
          </cell>
          <cell r="I135">
            <v>0</v>
          </cell>
          <cell r="J135">
            <v>1173.5</v>
          </cell>
          <cell r="K135">
            <v>1826.5</v>
          </cell>
          <cell r="L135" t="str">
            <v>LIMITE VIDA</v>
          </cell>
        </row>
        <row r="136">
          <cell r="C136" t="str">
            <v>ELEVATOR RH</v>
          </cell>
          <cell r="D136" t="str">
            <v>204-030-858-54</v>
          </cell>
          <cell r="E136" t="str">
            <v>971028EA</v>
          </cell>
          <cell r="F136">
            <v>3000</v>
          </cell>
          <cell r="G136" t="str">
            <v>HRS.</v>
          </cell>
          <cell r="H136">
            <v>16488.599999999999</v>
          </cell>
          <cell r="I136">
            <v>0</v>
          </cell>
          <cell r="J136">
            <v>1173.5</v>
          </cell>
          <cell r="K136">
            <v>1826.5</v>
          </cell>
          <cell r="L136" t="str">
            <v>LIMITE VIDA</v>
          </cell>
        </row>
        <row r="137">
          <cell r="C137" t="str">
            <v>TAILBOOM ASSY</v>
          </cell>
          <cell r="D137" t="str">
            <v>204-032-800-5</v>
          </cell>
          <cell r="E137" t="str">
            <v>ABF0054</v>
          </cell>
          <cell r="F137" t="str">
            <v>OC</v>
          </cell>
          <cell r="H137">
            <v>13459.5</v>
          </cell>
          <cell r="I137">
            <v>0</v>
          </cell>
          <cell r="J137">
            <v>3874.1</v>
          </cell>
          <cell r="K137" t="str">
            <v>OC</v>
          </cell>
          <cell r="L137" t="str">
            <v>CONDICION</v>
          </cell>
        </row>
        <row r="138">
          <cell r="C138" t="str">
            <v>BLOWER ASSY</v>
          </cell>
          <cell r="D138" t="str">
            <v>204-062-540-001</v>
          </cell>
          <cell r="E138" t="str">
            <v>N/A</v>
          </cell>
          <cell r="F138" t="str">
            <v>OC</v>
          </cell>
          <cell r="H138">
            <v>15687.6</v>
          </cell>
          <cell r="I138">
            <v>0</v>
          </cell>
          <cell r="J138">
            <v>1736</v>
          </cell>
          <cell r="K138" t="str">
            <v>OC</v>
          </cell>
          <cell r="L138" t="str">
            <v>CONDICION</v>
          </cell>
        </row>
        <row r="139">
          <cell r="C139" t="str">
            <v>ENGINE</v>
          </cell>
          <cell r="D139" t="str">
            <v>T5313B</v>
          </cell>
          <cell r="E139" t="str">
            <v>LE07672</v>
          </cell>
          <cell r="F139">
            <v>5000</v>
          </cell>
          <cell r="G139" t="str">
            <v>HRS.</v>
          </cell>
          <cell r="H139">
            <v>17035</v>
          </cell>
          <cell r="I139">
            <v>1103</v>
          </cell>
          <cell r="J139">
            <v>1730.0999999999985</v>
          </cell>
          <cell r="K139">
            <v>3269.9000000000015</v>
          </cell>
          <cell r="L139" t="str">
            <v>OVERHAUL</v>
          </cell>
        </row>
        <row r="140">
          <cell r="C140" t="str">
            <v>ENGINE HSI</v>
          </cell>
          <cell r="D140" t="str">
            <v>T5313B</v>
          </cell>
          <cell r="E140" t="str">
            <v>LE07672</v>
          </cell>
          <cell r="F140">
            <v>1200</v>
          </cell>
          <cell r="G140" t="str">
            <v>HRS.</v>
          </cell>
          <cell r="H140">
            <v>17624.599999999999</v>
          </cell>
          <cell r="I140">
            <v>0</v>
          </cell>
          <cell r="J140">
            <v>37.5</v>
          </cell>
          <cell r="K140">
            <v>1162.5</v>
          </cell>
          <cell r="L140" t="str">
            <v>INSPECCION</v>
          </cell>
        </row>
        <row r="141">
          <cell r="C141" t="str">
            <v>SHAFT COMP DISC</v>
          </cell>
          <cell r="D141" t="str">
            <v>1-100-495-07</v>
          </cell>
          <cell r="E141" t="str">
            <v>OJ092</v>
          </cell>
          <cell r="F141">
            <v>25000</v>
          </cell>
          <cell r="G141" t="str">
            <v>HRS.</v>
          </cell>
          <cell r="H141">
            <v>17035</v>
          </cell>
          <cell r="I141">
            <v>3271.7</v>
          </cell>
          <cell r="J141">
            <v>3898.7999999999984</v>
          </cell>
          <cell r="K141">
            <v>21101.200000000001</v>
          </cell>
          <cell r="L141" t="str">
            <v>INSPECCION</v>
          </cell>
        </row>
        <row r="142">
          <cell r="C142" t="str">
            <v>SHAFT COMP DISC</v>
          </cell>
          <cell r="D142" t="str">
            <v>1-100-495-07</v>
          </cell>
          <cell r="E142" t="str">
            <v>OJ092</v>
          </cell>
          <cell r="F142">
            <v>25000</v>
          </cell>
          <cell r="G142" t="str">
            <v>CY.</v>
          </cell>
          <cell r="H142">
            <v>2913</v>
          </cell>
          <cell r="I142">
            <v>7812.81</v>
          </cell>
          <cell r="J142">
            <v>7812.81</v>
          </cell>
          <cell r="K142">
            <v>17187.189999999999</v>
          </cell>
          <cell r="L142" t="str">
            <v>INSPECCION</v>
          </cell>
        </row>
        <row r="143">
          <cell r="C143" t="str">
            <v>COMP. DISC.</v>
          </cell>
          <cell r="D143" t="str">
            <v>1-101-250-04</v>
          </cell>
          <cell r="E143" t="str">
            <v>M243556</v>
          </cell>
          <cell r="F143">
            <v>25000</v>
          </cell>
          <cell r="G143" t="str">
            <v>HRS.</v>
          </cell>
          <cell r="H143">
            <v>17035</v>
          </cell>
          <cell r="I143">
            <v>3010.9</v>
          </cell>
          <cell r="J143">
            <v>3637.9999999999986</v>
          </cell>
          <cell r="K143">
            <v>21362</v>
          </cell>
          <cell r="L143" t="str">
            <v>INSPECCION</v>
          </cell>
        </row>
        <row r="144">
          <cell r="C144" t="str">
            <v>COMP. DISC.</v>
          </cell>
          <cell r="D144" t="str">
            <v>1-101-250-04</v>
          </cell>
          <cell r="E144" t="str">
            <v>M243556</v>
          </cell>
          <cell r="F144">
            <v>16500</v>
          </cell>
          <cell r="G144" t="str">
            <v>CY.</v>
          </cell>
          <cell r="H144">
            <v>2913</v>
          </cell>
          <cell r="I144">
            <v>5016.8</v>
          </cell>
          <cell r="J144">
            <v>5016.8</v>
          </cell>
          <cell r="K144">
            <v>11483.2</v>
          </cell>
          <cell r="L144" t="str">
            <v>INSPECCION</v>
          </cell>
        </row>
        <row r="145">
          <cell r="C145" t="str">
            <v>CENT. IMPELLER</v>
          </cell>
          <cell r="D145" t="str">
            <v>1-100-078-08</v>
          </cell>
          <cell r="E145">
            <v>42333</v>
          </cell>
          <cell r="F145">
            <v>25000</v>
          </cell>
          <cell r="G145" t="str">
            <v>HRS.</v>
          </cell>
          <cell r="H145">
            <v>17035</v>
          </cell>
          <cell r="I145">
            <v>2096.6999999999998</v>
          </cell>
          <cell r="J145">
            <v>2723.7999999999984</v>
          </cell>
          <cell r="K145">
            <v>22276.2</v>
          </cell>
          <cell r="L145" t="str">
            <v>INSPECCION</v>
          </cell>
        </row>
        <row r="146">
          <cell r="C146" t="str">
            <v>CENT. IMPELLER</v>
          </cell>
          <cell r="D146" t="str">
            <v>1-100-078-08</v>
          </cell>
          <cell r="E146">
            <v>42333</v>
          </cell>
          <cell r="F146">
            <v>14000</v>
          </cell>
          <cell r="G146" t="str">
            <v>CY.</v>
          </cell>
          <cell r="H146">
            <v>2913</v>
          </cell>
          <cell r="I146">
            <v>4496.58</v>
          </cell>
          <cell r="J146">
            <v>4496.58</v>
          </cell>
          <cell r="K146">
            <v>9503.42</v>
          </cell>
          <cell r="L146" t="str">
            <v>INSPECCION</v>
          </cell>
        </row>
        <row r="148">
          <cell r="C148" t="str">
            <v>FECHA:</v>
          </cell>
          <cell r="D148">
            <v>0</v>
          </cell>
        </row>
        <row r="149">
          <cell r="C149" t="str">
            <v>HRS.</v>
          </cell>
          <cell r="D149">
            <v>17662.099999999999</v>
          </cell>
        </row>
        <row r="151">
          <cell r="C151" t="str">
            <v>DESCRIPCION</v>
          </cell>
          <cell r="D151" t="str">
            <v>NUMERO</v>
          </cell>
          <cell r="E151" t="str">
            <v>NUMERO</v>
          </cell>
          <cell r="F151" t="str">
            <v>T.B.O.</v>
          </cell>
          <cell r="G151" t="str">
            <v>HORAS</v>
          </cell>
          <cell r="H151" t="str">
            <v>HRS./CYC. A/N</v>
          </cell>
          <cell r="I151" t="str">
            <v>HRS./CYC. COMP.</v>
          </cell>
          <cell r="J151" t="str">
            <v>HRS./CYC. COMP.</v>
          </cell>
          <cell r="K151" t="str">
            <v>HRS./CYC. REM.</v>
          </cell>
          <cell r="L151" t="str">
            <v>ACCION</v>
          </cell>
        </row>
        <row r="152">
          <cell r="C152" t="str">
            <v>COMPONENTE</v>
          </cell>
          <cell r="D152" t="str">
            <v>DE PARTE</v>
          </cell>
          <cell r="E152" t="str">
            <v>DE SERIE</v>
          </cell>
          <cell r="F152" t="str">
            <v>R.T.L.</v>
          </cell>
          <cell r="G152" t="str">
            <v>CICLOS</v>
          </cell>
          <cell r="H152" t="str">
            <v>AL INSTAL.</v>
          </cell>
          <cell r="I152" t="str">
            <v>AL INSTAL.</v>
          </cell>
          <cell r="J152" t="str">
            <v>ACTUALES</v>
          </cell>
          <cell r="K152" t="str">
            <v>COMPO.</v>
          </cell>
          <cell r="L152" t="str">
            <v>REQUERIDA</v>
          </cell>
        </row>
        <row r="154">
          <cell r="C154" t="str">
            <v>CENT. IMPELLER INSPECTION</v>
          </cell>
          <cell r="D154" t="str">
            <v>AD 86-09-05</v>
          </cell>
          <cell r="E154">
            <v>42333</v>
          </cell>
          <cell r="F154">
            <v>4800</v>
          </cell>
          <cell r="G154" t="str">
            <v>CY.</v>
          </cell>
          <cell r="H154">
            <v>2913</v>
          </cell>
          <cell r="I154">
            <v>0</v>
          </cell>
          <cell r="J154">
            <v>0</v>
          </cell>
          <cell r="K154">
            <v>4800</v>
          </cell>
          <cell r="L154" t="str">
            <v>INSPECCION</v>
          </cell>
        </row>
        <row r="155">
          <cell r="C155" t="str">
            <v>REAR COMPRESSOR SHAFT</v>
          </cell>
          <cell r="D155" t="str">
            <v>1-100-501-01</v>
          </cell>
          <cell r="E155">
            <v>34331</v>
          </cell>
          <cell r="F155">
            <v>25000</v>
          </cell>
          <cell r="G155" t="str">
            <v>HRS.</v>
          </cell>
          <cell r="H155">
            <v>17035</v>
          </cell>
          <cell r="I155">
            <v>3010.9</v>
          </cell>
          <cell r="J155">
            <v>3637.9999999999986</v>
          </cell>
          <cell r="K155">
            <v>21362</v>
          </cell>
          <cell r="L155" t="str">
            <v>INSPECCION</v>
          </cell>
        </row>
        <row r="156">
          <cell r="C156" t="str">
            <v>REAR COMPRESSOR SHAFT</v>
          </cell>
          <cell r="D156" t="str">
            <v>1-100-501-01</v>
          </cell>
          <cell r="E156">
            <v>34331</v>
          </cell>
          <cell r="F156">
            <v>25000</v>
          </cell>
          <cell r="G156" t="str">
            <v>CY.</v>
          </cell>
          <cell r="H156">
            <v>2913</v>
          </cell>
          <cell r="I156">
            <v>5016.8100000000004</v>
          </cell>
          <cell r="J156">
            <v>5016.8100000000004</v>
          </cell>
          <cell r="K156">
            <v>19983.189999999999</v>
          </cell>
          <cell r="L156" t="str">
            <v>INSPECCION</v>
          </cell>
        </row>
        <row r="157">
          <cell r="C157" t="str">
            <v>SEALING DISC.</v>
          </cell>
          <cell r="D157" t="str">
            <v>1-100-135-03</v>
          </cell>
          <cell r="E157" t="str">
            <v>B999</v>
          </cell>
          <cell r="F157">
            <v>25000</v>
          </cell>
          <cell r="G157" t="str">
            <v>HRS.</v>
          </cell>
          <cell r="H157">
            <v>17035</v>
          </cell>
          <cell r="I157">
            <v>1164.2</v>
          </cell>
          <cell r="J157">
            <v>1791.2999999999986</v>
          </cell>
          <cell r="K157">
            <v>23208.7</v>
          </cell>
          <cell r="L157" t="str">
            <v>INSPECCION</v>
          </cell>
        </row>
        <row r="158">
          <cell r="C158" t="str">
            <v>SEALING DISC.</v>
          </cell>
          <cell r="D158" t="str">
            <v>1-100-135-03</v>
          </cell>
          <cell r="E158" t="str">
            <v>B999</v>
          </cell>
          <cell r="F158">
            <v>8000</v>
          </cell>
          <cell r="G158" t="str">
            <v>CY.</v>
          </cell>
          <cell r="H158">
            <v>2913</v>
          </cell>
          <cell r="I158">
            <v>2064.33</v>
          </cell>
          <cell r="J158">
            <v>2064.33</v>
          </cell>
          <cell r="K158">
            <v>5935.67</v>
          </cell>
          <cell r="L158" t="str">
            <v>INSPECCION</v>
          </cell>
        </row>
        <row r="159">
          <cell r="C159" t="str">
            <v>FIRST STAGE G.P. ROTOR</v>
          </cell>
          <cell r="D159" t="str">
            <v>1-100-133-01</v>
          </cell>
          <cell r="E159" t="str">
            <v>SCO9196</v>
          </cell>
          <cell r="F159">
            <v>25000</v>
          </cell>
          <cell r="G159" t="str">
            <v>HRS.</v>
          </cell>
          <cell r="H159">
            <v>17035</v>
          </cell>
          <cell r="I159">
            <v>1164.2</v>
          </cell>
          <cell r="J159">
            <v>1791.2999999999986</v>
          </cell>
          <cell r="K159">
            <v>23208.7</v>
          </cell>
          <cell r="L159" t="str">
            <v>INSPECCION</v>
          </cell>
        </row>
        <row r="160">
          <cell r="C160" t="str">
            <v>FIRST STAGE G.P. ROTOR</v>
          </cell>
          <cell r="D160" t="str">
            <v>1-100-133-01</v>
          </cell>
          <cell r="E160" t="str">
            <v>SCO9196</v>
          </cell>
          <cell r="F160">
            <v>10000</v>
          </cell>
          <cell r="G160" t="str">
            <v>CY.</v>
          </cell>
          <cell r="H160">
            <v>2913</v>
          </cell>
          <cell r="I160">
            <v>2064.33</v>
          </cell>
          <cell r="J160">
            <v>2064.33</v>
          </cell>
          <cell r="K160">
            <v>7935.67</v>
          </cell>
          <cell r="L160" t="str">
            <v>INSPECCION</v>
          </cell>
        </row>
        <row r="161">
          <cell r="C161" t="str">
            <v>SND. STAGE G.P. ROTOR</v>
          </cell>
          <cell r="D161" t="str">
            <v>1-100-063-05</v>
          </cell>
          <cell r="E161">
            <v>60682</v>
          </cell>
          <cell r="F161">
            <v>25000</v>
          </cell>
          <cell r="G161" t="str">
            <v>HRS.</v>
          </cell>
          <cell r="H161">
            <v>17624.599999999999</v>
          </cell>
          <cell r="I161">
            <v>704</v>
          </cell>
          <cell r="J161">
            <v>741.5</v>
          </cell>
          <cell r="K161">
            <v>24258.5</v>
          </cell>
          <cell r="L161" t="str">
            <v>INSPECCION</v>
          </cell>
        </row>
        <row r="162">
          <cell r="C162" t="str">
            <v>SND. STAGE G.P. ROTOR</v>
          </cell>
          <cell r="D162" t="str">
            <v>1-100-063-05</v>
          </cell>
          <cell r="E162">
            <v>60682</v>
          </cell>
          <cell r="F162">
            <v>21700</v>
          </cell>
          <cell r="G162" t="str">
            <v>CY.</v>
          </cell>
          <cell r="H162">
            <v>2913</v>
          </cell>
          <cell r="I162">
            <v>1633</v>
          </cell>
          <cell r="J162">
            <v>1633</v>
          </cell>
          <cell r="K162">
            <v>20067</v>
          </cell>
          <cell r="L162" t="str">
            <v>INSPECCION</v>
          </cell>
        </row>
        <row r="163">
          <cell r="C163" t="str">
            <v>GPT SPACER</v>
          </cell>
          <cell r="D163" t="str">
            <v>1-100-294-03</v>
          </cell>
          <cell r="E163" t="str">
            <v>8-17817</v>
          </cell>
          <cell r="F163">
            <v>25000</v>
          </cell>
          <cell r="G163" t="str">
            <v>HRS.</v>
          </cell>
          <cell r="H163">
            <v>17624.599999999999</v>
          </cell>
          <cell r="I163">
            <v>0</v>
          </cell>
          <cell r="J163">
            <v>37.5</v>
          </cell>
          <cell r="K163">
            <v>24962.5</v>
          </cell>
          <cell r="L163" t="str">
            <v>INSPECCION</v>
          </cell>
        </row>
        <row r="164">
          <cell r="C164" t="str">
            <v>GPT SPACER</v>
          </cell>
          <cell r="D164" t="str">
            <v>1-100-294-03</v>
          </cell>
          <cell r="E164" t="str">
            <v>8-17817</v>
          </cell>
          <cell r="F164">
            <v>25000</v>
          </cell>
          <cell r="G164" t="str">
            <v>CY.</v>
          </cell>
          <cell r="H164">
            <v>2913</v>
          </cell>
          <cell r="I164">
            <v>0</v>
          </cell>
          <cell r="J164">
            <v>0</v>
          </cell>
          <cell r="K164">
            <v>25000</v>
          </cell>
          <cell r="L164" t="str">
            <v>INSPECCION</v>
          </cell>
        </row>
        <row r="165">
          <cell r="C165" t="str">
            <v>1er STAGE P.T ROTOR</v>
          </cell>
          <cell r="D165" t="str">
            <v>1-190-009-05</v>
          </cell>
          <cell r="E165">
            <v>96338</v>
          </cell>
          <cell r="F165">
            <v>25000</v>
          </cell>
          <cell r="G165" t="str">
            <v>HRS.</v>
          </cell>
          <cell r="H165">
            <v>17624.599999999999</v>
          </cell>
          <cell r="I165">
            <v>1431.7</v>
          </cell>
          <cell r="J165">
            <v>1469.2</v>
          </cell>
          <cell r="K165">
            <v>23530.799999999999</v>
          </cell>
          <cell r="L165" t="str">
            <v>INSPECCION</v>
          </cell>
        </row>
        <row r="166">
          <cell r="C166" t="str">
            <v>1er STAGE P.T ROTOR</v>
          </cell>
          <cell r="D166" t="str">
            <v>1-190-009-05</v>
          </cell>
          <cell r="E166">
            <v>96338</v>
          </cell>
          <cell r="F166">
            <v>25000</v>
          </cell>
          <cell r="G166" t="str">
            <v>CY.</v>
          </cell>
          <cell r="H166">
            <v>2913</v>
          </cell>
          <cell r="I166">
            <v>1921.3</v>
          </cell>
          <cell r="J166">
            <v>1921.3</v>
          </cell>
          <cell r="K166">
            <v>23078.7</v>
          </cell>
          <cell r="L166" t="str">
            <v>INSPECCION</v>
          </cell>
        </row>
        <row r="167">
          <cell r="C167" t="str">
            <v>2d STAGE P.T. ROTOR</v>
          </cell>
          <cell r="D167" t="str">
            <v>1-140-272-04</v>
          </cell>
          <cell r="E167" t="str">
            <v>M376958</v>
          </cell>
          <cell r="F167">
            <v>25000</v>
          </cell>
          <cell r="G167" t="str">
            <v>HRS.</v>
          </cell>
          <cell r="H167">
            <v>17624.599999999999</v>
          </cell>
          <cell r="I167">
            <v>1688.9</v>
          </cell>
          <cell r="J167">
            <v>1726.4</v>
          </cell>
          <cell r="K167">
            <v>23273.599999999999</v>
          </cell>
          <cell r="L167" t="str">
            <v>INSPECCION</v>
          </cell>
        </row>
        <row r="168">
          <cell r="C168" t="str">
            <v>2d STAGE P.T. ROTOR</v>
          </cell>
          <cell r="D168" t="str">
            <v>1-140-272-04</v>
          </cell>
          <cell r="E168" t="str">
            <v>M376958</v>
          </cell>
          <cell r="F168">
            <v>65000</v>
          </cell>
          <cell r="G168" t="str">
            <v>CY.</v>
          </cell>
          <cell r="H168">
            <v>2913</v>
          </cell>
          <cell r="I168">
            <v>2728.92</v>
          </cell>
          <cell r="J168">
            <v>2728.92</v>
          </cell>
          <cell r="K168">
            <v>62271.08</v>
          </cell>
          <cell r="L168" t="str">
            <v>INSPECCION</v>
          </cell>
        </row>
        <row r="169">
          <cell r="C169" t="str">
            <v>PT. SPACER</v>
          </cell>
          <cell r="D169" t="str">
            <v>1-140-169-04</v>
          </cell>
          <cell r="E169" t="str">
            <v>6942-0215</v>
          </cell>
          <cell r="F169">
            <v>25000</v>
          </cell>
          <cell r="G169" t="str">
            <v>HRS.</v>
          </cell>
          <cell r="H169">
            <v>17624.599999999999</v>
          </cell>
          <cell r="I169">
            <v>1688.9</v>
          </cell>
          <cell r="J169">
            <v>1726.4</v>
          </cell>
          <cell r="K169">
            <v>23273.599999999999</v>
          </cell>
          <cell r="L169" t="str">
            <v>INSPECCION</v>
          </cell>
        </row>
        <row r="170">
          <cell r="C170" t="str">
            <v>PT. SPACER</v>
          </cell>
          <cell r="D170" t="str">
            <v>1-140-169-04</v>
          </cell>
          <cell r="E170" t="str">
            <v>6942-0215</v>
          </cell>
          <cell r="F170">
            <v>25000</v>
          </cell>
          <cell r="G170" t="str">
            <v>CY.</v>
          </cell>
          <cell r="H170">
            <v>2913</v>
          </cell>
          <cell r="I170">
            <v>2728.92</v>
          </cell>
          <cell r="J170">
            <v>2728.92</v>
          </cell>
          <cell r="K170">
            <v>22271.08</v>
          </cell>
          <cell r="L170" t="str">
            <v>INSPECCION</v>
          </cell>
        </row>
        <row r="171">
          <cell r="C171" t="str">
            <v>POWER SHAFT</v>
          </cell>
          <cell r="D171" t="str">
            <v>1-100-800-04</v>
          </cell>
          <cell r="E171" t="str">
            <v>DN0796</v>
          </cell>
          <cell r="F171">
            <v>25000</v>
          </cell>
          <cell r="G171" t="str">
            <v>HRS.</v>
          </cell>
          <cell r="H171">
            <v>17624.599999999999</v>
          </cell>
          <cell r="I171">
            <v>1324.6</v>
          </cell>
          <cell r="J171">
            <v>1362.1</v>
          </cell>
          <cell r="K171">
            <v>23637.9</v>
          </cell>
          <cell r="L171" t="str">
            <v>INSPECCION</v>
          </cell>
        </row>
        <row r="172">
          <cell r="C172" t="str">
            <v>POWER SHAFT</v>
          </cell>
          <cell r="D172" t="str">
            <v>1-100-800-04</v>
          </cell>
          <cell r="E172" t="str">
            <v>DN0796</v>
          </cell>
          <cell r="F172">
            <v>25000</v>
          </cell>
          <cell r="G172" t="str">
            <v>CY.</v>
          </cell>
          <cell r="H172">
            <v>2913</v>
          </cell>
          <cell r="I172">
            <v>1894.52</v>
          </cell>
          <cell r="J172">
            <v>1894.52</v>
          </cell>
          <cell r="K172">
            <v>23105.48</v>
          </cell>
          <cell r="L172" t="str">
            <v>INSPECCION</v>
          </cell>
        </row>
        <row r="173">
          <cell r="C173" t="str">
            <v>FUEL CONTROL</v>
          </cell>
          <cell r="D173" t="str">
            <v>1-170-240-60</v>
          </cell>
          <cell r="E173" t="str">
            <v>692AS9067</v>
          </cell>
          <cell r="F173">
            <v>3000</v>
          </cell>
          <cell r="G173" t="str">
            <v>HRS.</v>
          </cell>
          <cell r="H173">
            <v>17596.2</v>
          </cell>
          <cell r="I173">
            <v>1962.6</v>
          </cell>
          <cell r="J173">
            <v>2028.4999999999977</v>
          </cell>
          <cell r="K173">
            <v>971.50000000000227</v>
          </cell>
          <cell r="L173" t="str">
            <v>OVERHAUL</v>
          </cell>
        </row>
        <row r="174">
          <cell r="C174" t="str">
            <v>GOVERNOR</v>
          </cell>
          <cell r="D174" t="str">
            <v>1-160-850-16</v>
          </cell>
          <cell r="E174" t="str">
            <v>682AM14263</v>
          </cell>
          <cell r="F174">
            <v>3000</v>
          </cell>
          <cell r="G174" t="str">
            <v>HRS.</v>
          </cell>
          <cell r="H174">
            <v>17585.599999999999</v>
          </cell>
          <cell r="I174">
            <v>0</v>
          </cell>
          <cell r="J174">
            <v>76.5</v>
          </cell>
          <cell r="K174">
            <v>2923.5</v>
          </cell>
          <cell r="L174" t="str">
            <v>OVERHAUL</v>
          </cell>
        </row>
        <row r="175">
          <cell r="C175" t="str">
            <v>STARTER GENERATOR</v>
          </cell>
          <cell r="D175" t="str">
            <v>23064-001</v>
          </cell>
          <cell r="E175">
            <v>7865</v>
          </cell>
          <cell r="F175">
            <v>300</v>
          </cell>
          <cell r="G175" t="str">
            <v>HRS.</v>
          </cell>
          <cell r="H175">
            <v>17424.2</v>
          </cell>
          <cell r="I175">
            <v>0</v>
          </cell>
          <cell r="J175">
            <v>237.89999999999782</v>
          </cell>
          <cell r="K175">
            <v>62.100000000002183</v>
          </cell>
          <cell r="L175" t="str">
            <v>INSPECCION</v>
          </cell>
        </row>
        <row r="176">
          <cell r="C176" t="str">
            <v>P1 MULTIPLIER BELLOW</v>
          </cell>
          <cell r="D176" t="str">
            <v>SB0048</v>
          </cell>
          <cell r="F176">
            <v>50</v>
          </cell>
          <cell r="G176" t="str">
            <v>HRS.</v>
          </cell>
          <cell r="H176">
            <v>17623.2</v>
          </cell>
          <cell r="I176">
            <v>0</v>
          </cell>
          <cell r="J176">
            <v>38.899999999997817</v>
          </cell>
          <cell r="K176">
            <v>11.100000000002183</v>
          </cell>
          <cell r="L176" t="str">
            <v>INSPECCION</v>
          </cell>
        </row>
        <row r="181">
          <cell r="C181" t="str">
            <v>ITEMS CON CALENDAR LIMITS</v>
          </cell>
        </row>
        <row r="183">
          <cell r="C183" t="str">
            <v>PITOT STATIC</v>
          </cell>
          <cell r="F183">
            <v>2</v>
          </cell>
          <cell r="G183" t="str">
            <v>YEAR</v>
          </cell>
          <cell r="H183">
            <v>36861</v>
          </cell>
          <cell r="I183">
            <v>0</v>
          </cell>
          <cell r="J183">
            <v>0</v>
          </cell>
          <cell r="K183">
            <v>37591</v>
          </cell>
          <cell r="L183" t="str">
            <v>INSPECCION</v>
          </cell>
        </row>
        <row r="184">
          <cell r="C184" t="str">
            <v>TRANSPONDER</v>
          </cell>
          <cell r="F184">
            <v>2</v>
          </cell>
          <cell r="G184" t="str">
            <v>YEAR</v>
          </cell>
          <cell r="H184">
            <v>36861</v>
          </cell>
          <cell r="I184">
            <v>0</v>
          </cell>
          <cell r="J184">
            <v>0</v>
          </cell>
          <cell r="K184">
            <v>37591</v>
          </cell>
          <cell r="L184" t="str">
            <v>INSPECCION</v>
          </cell>
        </row>
        <row r="185">
          <cell r="C185" t="str">
            <v>WEIGHT &amp; BALANCE</v>
          </cell>
          <cell r="D185" t="str">
            <v>205A-1/W&amp;B</v>
          </cell>
          <cell r="F185">
            <v>5</v>
          </cell>
          <cell r="G185" t="str">
            <v>YEAR</v>
          </cell>
          <cell r="H185">
            <v>35648</v>
          </cell>
          <cell r="I185">
            <v>0</v>
          </cell>
          <cell r="J185">
            <v>0</v>
          </cell>
          <cell r="K185">
            <v>37473</v>
          </cell>
          <cell r="L185" t="str">
            <v>INSPECCION</v>
          </cell>
        </row>
        <row r="186">
          <cell r="C186" t="str">
            <v>ENCODER</v>
          </cell>
          <cell r="F186">
            <v>2</v>
          </cell>
          <cell r="G186" t="str">
            <v>YEAR</v>
          </cell>
          <cell r="H186">
            <v>36861</v>
          </cell>
          <cell r="I186">
            <v>0</v>
          </cell>
          <cell r="J186">
            <v>0</v>
          </cell>
          <cell r="K186">
            <v>37591</v>
          </cell>
          <cell r="L186" t="str">
            <v>INSPECCION</v>
          </cell>
        </row>
        <row r="187">
          <cell r="C187" t="str">
            <v>ALTIMETER</v>
          </cell>
          <cell r="D187" t="str">
            <v>5932-BH5</v>
          </cell>
          <cell r="F187">
            <v>2</v>
          </cell>
          <cell r="G187" t="str">
            <v>YEAR</v>
          </cell>
          <cell r="H187">
            <v>36861</v>
          </cell>
          <cell r="I187">
            <v>0</v>
          </cell>
          <cell r="J187">
            <v>0</v>
          </cell>
          <cell r="K187">
            <v>37591</v>
          </cell>
          <cell r="L187" t="str">
            <v>INSPECCION</v>
          </cell>
        </row>
        <row r="188">
          <cell r="C188" t="str">
            <v>FIRE EXTINGUISHER</v>
          </cell>
          <cell r="D188" t="str">
            <v>REWEIGH</v>
          </cell>
          <cell r="E188" t="str">
            <v>985511C</v>
          </cell>
          <cell r="F188">
            <v>1</v>
          </cell>
          <cell r="G188" t="str">
            <v>YEAR</v>
          </cell>
          <cell r="H188">
            <v>36861</v>
          </cell>
          <cell r="I188">
            <v>0</v>
          </cell>
          <cell r="J188">
            <v>0</v>
          </cell>
          <cell r="K188">
            <v>37226</v>
          </cell>
          <cell r="L188" t="str">
            <v>INSPECCION</v>
          </cell>
        </row>
        <row r="189">
          <cell r="C189" t="str">
            <v>FIRE EXTINGUISHER</v>
          </cell>
          <cell r="D189" t="str">
            <v>REWEIGH</v>
          </cell>
          <cell r="E189" t="str">
            <v>984807C</v>
          </cell>
          <cell r="F189">
            <v>1</v>
          </cell>
          <cell r="G189" t="str">
            <v>YEAR</v>
          </cell>
          <cell r="H189">
            <v>36861</v>
          </cell>
          <cell r="I189">
            <v>0</v>
          </cell>
          <cell r="J189">
            <v>0</v>
          </cell>
          <cell r="K189">
            <v>37226</v>
          </cell>
          <cell r="L189" t="str">
            <v>INSPECCION</v>
          </cell>
        </row>
        <row r="190">
          <cell r="C190" t="str">
            <v>FIRS AID KIT</v>
          </cell>
          <cell r="F190">
            <v>1</v>
          </cell>
          <cell r="G190" t="str">
            <v>YEAR</v>
          </cell>
          <cell r="H190">
            <v>36861</v>
          </cell>
          <cell r="I190">
            <v>0</v>
          </cell>
          <cell r="J190">
            <v>0</v>
          </cell>
          <cell r="K190">
            <v>37226</v>
          </cell>
          <cell r="L190" t="str">
            <v>INSPECCION</v>
          </cell>
        </row>
        <row r="191">
          <cell r="C191" t="str">
            <v>ELT BENCH TEST</v>
          </cell>
          <cell r="D191" t="str">
            <v>ARTEX 110-4</v>
          </cell>
          <cell r="E191">
            <v>40853</v>
          </cell>
          <cell r="F191">
            <v>1</v>
          </cell>
          <cell r="G191" t="str">
            <v>YEAR</v>
          </cell>
          <cell r="H191">
            <v>36144</v>
          </cell>
          <cell r="I191">
            <v>0</v>
          </cell>
          <cell r="J191">
            <v>0</v>
          </cell>
          <cell r="K191">
            <v>36509</v>
          </cell>
          <cell r="L191" t="str">
            <v>INSPECCION</v>
          </cell>
        </row>
        <row r="192">
          <cell r="C192" t="str">
            <v>ELT BATTERY</v>
          </cell>
          <cell r="D192" t="str">
            <v>ARTEX 110-4</v>
          </cell>
          <cell r="E192">
            <v>40853</v>
          </cell>
          <cell r="F192">
            <v>2</v>
          </cell>
          <cell r="G192" t="str">
            <v>YEAR</v>
          </cell>
          <cell r="H192">
            <v>36433</v>
          </cell>
          <cell r="I192">
            <v>0</v>
          </cell>
          <cell r="J192">
            <v>0</v>
          </cell>
          <cell r="K192">
            <v>37163</v>
          </cell>
          <cell r="L192" t="str">
            <v>INSPECCION</v>
          </cell>
        </row>
        <row r="193">
          <cell r="C193" t="str">
            <v>A/C BATTERY</v>
          </cell>
          <cell r="D193" t="str">
            <v>4076OR15580</v>
          </cell>
          <cell r="E193">
            <v>78659</v>
          </cell>
          <cell r="F193">
            <v>600</v>
          </cell>
          <cell r="G193" t="str">
            <v>OH</v>
          </cell>
          <cell r="H193">
            <v>17423.599999999999</v>
          </cell>
          <cell r="I193">
            <v>0</v>
          </cell>
          <cell r="J193">
            <v>238.5</v>
          </cell>
          <cell r="K193">
            <v>361.5</v>
          </cell>
          <cell r="L193" t="str">
            <v>INSPECCION</v>
          </cell>
        </row>
        <row r="194">
          <cell r="C194" t="str">
            <v>A/C BATTERY</v>
          </cell>
          <cell r="D194" t="str">
            <v>4076OR15580</v>
          </cell>
          <cell r="E194">
            <v>78659</v>
          </cell>
          <cell r="F194">
            <v>1</v>
          </cell>
          <cell r="G194" t="str">
            <v>YEAR</v>
          </cell>
          <cell r="H194">
            <v>36861</v>
          </cell>
          <cell r="I194">
            <v>0</v>
          </cell>
          <cell r="J194">
            <v>0</v>
          </cell>
          <cell r="K194">
            <v>37226</v>
          </cell>
          <cell r="L194" t="str">
            <v>INSPECCION</v>
          </cell>
        </row>
        <row r="195">
          <cell r="C195" t="str">
            <v>CARGO HOOK</v>
          </cell>
          <cell r="D195" t="str">
            <v>204-072-915-25</v>
          </cell>
          <cell r="E195">
            <v>3700</v>
          </cell>
          <cell r="F195">
            <v>3</v>
          </cell>
          <cell r="G195" t="str">
            <v>YEAR</v>
          </cell>
          <cell r="H195">
            <v>36831</v>
          </cell>
          <cell r="I195">
            <v>0</v>
          </cell>
          <cell r="J195">
            <v>0</v>
          </cell>
          <cell r="K195">
            <v>37926</v>
          </cell>
          <cell r="L195" t="str">
            <v>INSPECCION</v>
          </cell>
        </row>
        <row r="196">
          <cell r="C196" t="str">
            <v>RADIO LICENCE</v>
          </cell>
          <cell r="F196">
            <v>1</v>
          </cell>
          <cell r="G196" t="str">
            <v>YEAR</v>
          </cell>
          <cell r="H196">
            <v>36617</v>
          </cell>
          <cell r="I196">
            <v>0</v>
          </cell>
          <cell r="J196">
            <v>0</v>
          </cell>
          <cell r="K196">
            <v>36982</v>
          </cell>
          <cell r="L196" t="str">
            <v>INSPECCION</v>
          </cell>
        </row>
        <row r="197">
          <cell r="C197" t="str">
            <v>COMPAS SWING</v>
          </cell>
          <cell r="F197">
            <v>1</v>
          </cell>
          <cell r="G197" t="str">
            <v>YEAR</v>
          </cell>
          <cell r="H197">
            <v>36861</v>
          </cell>
          <cell r="I197">
            <v>0</v>
          </cell>
          <cell r="J197">
            <v>0</v>
          </cell>
          <cell r="K197">
            <v>37226</v>
          </cell>
          <cell r="L197" t="str">
            <v>INSPECCION</v>
          </cell>
        </row>
        <row r="198">
          <cell r="C198" t="str">
            <v>AAIR</v>
          </cell>
          <cell r="F198">
            <v>1</v>
          </cell>
          <cell r="G198" t="str">
            <v>YEAR</v>
          </cell>
          <cell r="H198">
            <v>36861</v>
          </cell>
          <cell r="I198">
            <v>0</v>
          </cell>
          <cell r="J198">
            <v>0</v>
          </cell>
          <cell r="K198">
            <v>37226</v>
          </cell>
          <cell r="L198" t="str">
            <v>INSPECCION</v>
          </cell>
        </row>
        <row r="199">
          <cell r="C199" t="str">
            <v>SURVIVAL GEAR</v>
          </cell>
          <cell r="F199">
            <v>1</v>
          </cell>
          <cell r="G199" t="str">
            <v>YEAR</v>
          </cell>
          <cell r="H199">
            <v>36831</v>
          </cell>
          <cell r="I199">
            <v>0</v>
          </cell>
          <cell r="J199">
            <v>0</v>
          </cell>
          <cell r="K199">
            <v>37196</v>
          </cell>
          <cell r="L199" t="str">
            <v>INSPECCION</v>
          </cell>
        </row>
        <row r="200">
          <cell r="C200" t="str">
            <v>FIRE BOTTLES</v>
          </cell>
          <cell r="D200">
            <v>21500</v>
          </cell>
          <cell r="E200" t="str">
            <v>A3</v>
          </cell>
          <cell r="F200">
            <v>5</v>
          </cell>
          <cell r="G200" t="str">
            <v>YEAR</v>
          </cell>
          <cell r="H200">
            <v>35462</v>
          </cell>
          <cell r="I200">
            <v>0</v>
          </cell>
          <cell r="J200">
            <v>0</v>
          </cell>
          <cell r="K200">
            <v>37287</v>
          </cell>
          <cell r="L200" t="str">
            <v>INSPECCION</v>
          </cell>
        </row>
        <row r="201">
          <cell r="C201" t="str">
            <v>SQUIB</v>
          </cell>
          <cell r="D201" t="str">
            <v>P30900400</v>
          </cell>
          <cell r="E201" t="str">
            <v>AGM 940</v>
          </cell>
          <cell r="F201">
            <v>4</v>
          </cell>
          <cell r="G201" t="str">
            <v>YEAR</v>
          </cell>
          <cell r="H201">
            <v>35462</v>
          </cell>
          <cell r="I201">
            <v>0</v>
          </cell>
          <cell r="J201">
            <v>0</v>
          </cell>
          <cell r="K201">
            <v>36922</v>
          </cell>
          <cell r="L201" t="str">
            <v>INSPECCION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zoomScaleSheetLayoutView="107" workbookViewId="0">
      <selection activeCell="E4" sqref="E4"/>
    </sheetView>
  </sheetViews>
  <sheetFormatPr defaultColWidth="11" defaultRowHeight="12.75" x14ac:dyDescent="0.2"/>
  <cols>
    <col min="1" max="1" width="33.28515625" style="193" customWidth="1"/>
    <col min="2" max="2" width="18.5703125" style="193" customWidth="1"/>
    <col min="3" max="3" width="19.42578125" style="193" customWidth="1"/>
    <col min="4" max="4" width="33.28515625" style="193" customWidth="1"/>
    <col min="5" max="5" width="18.5703125" style="193" customWidth="1"/>
    <col min="6" max="16384" width="11" style="193"/>
  </cols>
  <sheetData>
    <row r="1" spans="1:5" ht="26.25" x14ac:dyDescent="0.4">
      <c r="A1" s="1470" t="s">
        <v>10</v>
      </c>
      <c r="B1" s="1471"/>
      <c r="C1" s="1471"/>
      <c r="D1" s="1471"/>
      <c r="E1" s="1472"/>
    </row>
    <row r="2" spans="1:5" ht="27" thickBot="1" x14ac:dyDescent="0.45">
      <c r="A2" s="194"/>
      <c r="B2" s="195"/>
      <c r="C2" s="195"/>
      <c r="D2" s="195"/>
      <c r="E2" s="196"/>
    </row>
    <row r="3" spans="1:5" ht="19.5" thickBot="1" x14ac:dyDescent="0.35">
      <c r="A3" s="197"/>
      <c r="B3" s="198"/>
      <c r="C3" s="198"/>
      <c r="D3" s="528" t="s">
        <v>42</v>
      </c>
      <c r="E3" s="1075">
        <v>41449</v>
      </c>
    </row>
    <row r="4" spans="1:5" x14ac:dyDescent="0.2">
      <c r="A4" s="197"/>
      <c r="B4" s="198"/>
      <c r="C4" s="198"/>
      <c r="D4" s="199"/>
      <c r="E4" s="200"/>
    </row>
    <row r="5" spans="1:5" s="204" customFormat="1" ht="15.75" x14ac:dyDescent="0.25">
      <c r="A5" s="525" t="s">
        <v>261</v>
      </c>
      <c r="B5" s="228" t="s">
        <v>902</v>
      </c>
      <c r="C5" s="202"/>
      <c r="D5" s="520" t="s">
        <v>46</v>
      </c>
      <c r="E5" s="203" t="s">
        <v>45</v>
      </c>
    </row>
    <row r="6" spans="1:5" s="206" customFormat="1" ht="14.25" x14ac:dyDescent="0.2">
      <c r="A6" s="526"/>
      <c r="B6" s="523"/>
      <c r="C6" s="205"/>
      <c r="D6" s="521"/>
      <c r="E6" s="518"/>
    </row>
    <row r="7" spans="1:5" s="204" customFormat="1" ht="15.75" x14ac:dyDescent="0.25">
      <c r="A7" s="525" t="s">
        <v>262</v>
      </c>
      <c r="B7" s="201">
        <v>5752</v>
      </c>
      <c r="C7" s="202"/>
      <c r="D7" s="520" t="s">
        <v>47</v>
      </c>
      <c r="E7" s="203" t="s">
        <v>1280</v>
      </c>
    </row>
    <row r="8" spans="1:5" s="206" customFormat="1" ht="14.25" x14ac:dyDescent="0.2">
      <c r="A8" s="527"/>
      <c r="B8" s="517"/>
      <c r="C8" s="205"/>
      <c r="D8" s="521"/>
      <c r="E8" s="518"/>
    </row>
    <row r="9" spans="1:5" s="204" customFormat="1" ht="15.75" x14ac:dyDescent="0.25">
      <c r="A9" s="525" t="s">
        <v>260</v>
      </c>
      <c r="B9" s="818">
        <v>40903</v>
      </c>
      <c r="C9" s="202"/>
      <c r="D9" s="520" t="s">
        <v>48</v>
      </c>
      <c r="E9" s="817">
        <v>39264</v>
      </c>
    </row>
    <row r="10" spans="1:5" s="206" customFormat="1" ht="14.25" x14ac:dyDescent="0.2">
      <c r="A10" s="526"/>
      <c r="B10" s="523"/>
      <c r="C10" s="205"/>
      <c r="D10" s="522"/>
      <c r="E10" s="519"/>
    </row>
    <row r="11" spans="1:5" s="204" customFormat="1" ht="15.75" x14ac:dyDescent="0.25">
      <c r="A11" s="525" t="s">
        <v>44</v>
      </c>
      <c r="B11" s="447">
        <v>1192.5</v>
      </c>
      <c r="C11" s="202"/>
      <c r="D11" s="520" t="s">
        <v>11</v>
      </c>
      <c r="E11" s="448">
        <v>3532</v>
      </c>
    </row>
    <row r="12" spans="1:5" s="206" customFormat="1" ht="15.75" x14ac:dyDescent="0.25">
      <c r="A12" s="1118"/>
      <c r="B12" s="530"/>
      <c r="C12" s="205"/>
      <c r="D12" s="520"/>
      <c r="E12" s="448"/>
    </row>
    <row r="13" spans="1:5" s="206" customFormat="1" ht="15.75" x14ac:dyDescent="0.25">
      <c r="A13" s="524"/>
      <c r="B13" s="524"/>
      <c r="C13" s="205"/>
      <c r="D13" s="520" t="s">
        <v>1409</v>
      </c>
      <c r="E13" s="448">
        <v>372</v>
      </c>
    </row>
    <row r="14" spans="1:5" s="206" customFormat="1" ht="18" x14ac:dyDescent="0.25">
      <c r="A14" s="1119"/>
      <c r="B14" s="1120"/>
      <c r="C14" s="463" t="s">
        <v>266</v>
      </c>
      <c r="D14" s="464"/>
      <c r="E14" s="465"/>
    </row>
    <row r="15" spans="1:5" s="206" customFormat="1" ht="18" x14ac:dyDescent="0.25">
      <c r="A15" s="575"/>
      <c r="B15" s="576"/>
      <c r="C15" s="577"/>
      <c r="D15" s="578"/>
      <c r="E15" s="579"/>
    </row>
    <row r="16" spans="1:5" s="204" customFormat="1" ht="15.75" x14ac:dyDescent="0.25">
      <c r="A16" s="525" t="s">
        <v>263</v>
      </c>
      <c r="B16" s="228" t="s">
        <v>1156</v>
      </c>
      <c r="C16" s="202"/>
      <c r="D16" s="520" t="s">
        <v>267</v>
      </c>
      <c r="E16" s="203" t="s">
        <v>1156</v>
      </c>
    </row>
    <row r="17" spans="1:6" s="206" customFormat="1" ht="14.25" x14ac:dyDescent="0.2">
      <c r="A17" s="527"/>
      <c r="B17" s="517"/>
      <c r="C17" s="205"/>
      <c r="D17" s="521"/>
      <c r="E17" s="518"/>
    </row>
    <row r="18" spans="1:6" s="204" customFormat="1" ht="15.75" x14ac:dyDescent="0.25">
      <c r="A18" s="525" t="s">
        <v>265</v>
      </c>
      <c r="B18" s="201">
        <v>3005</v>
      </c>
      <c r="C18" s="202"/>
      <c r="D18" s="520" t="s">
        <v>268</v>
      </c>
      <c r="E18" s="207">
        <v>3008</v>
      </c>
    </row>
    <row r="19" spans="1:6" s="206" customFormat="1" ht="14.25" x14ac:dyDescent="0.2">
      <c r="A19" s="526"/>
      <c r="B19" s="523"/>
      <c r="C19" s="205"/>
      <c r="D19" s="534"/>
      <c r="E19" s="529"/>
    </row>
    <row r="20" spans="1:6" s="204" customFormat="1" ht="15.75" x14ac:dyDescent="0.25">
      <c r="A20" s="525" t="s">
        <v>43</v>
      </c>
      <c r="B20" s="447">
        <v>1192.5</v>
      </c>
      <c r="C20" s="202"/>
      <c r="D20" s="520" t="s">
        <v>894</v>
      </c>
      <c r="E20" s="990">
        <v>1192.5</v>
      </c>
    </row>
    <row r="21" spans="1:6" s="206" customFormat="1" ht="14.25" x14ac:dyDescent="0.2">
      <c r="A21" s="532"/>
      <c r="B21" s="530"/>
      <c r="C21" s="205"/>
      <c r="D21" s="535"/>
      <c r="E21" s="531"/>
    </row>
    <row r="22" spans="1:6" s="204" customFormat="1" ht="15.75" x14ac:dyDescent="0.25">
      <c r="A22" s="525" t="s">
        <v>50</v>
      </c>
      <c r="B22" s="447">
        <v>904.85</v>
      </c>
      <c r="C22" s="202"/>
      <c r="D22" s="520" t="s">
        <v>895</v>
      </c>
      <c r="E22" s="990">
        <v>955.25</v>
      </c>
    </row>
    <row r="23" spans="1:6" s="206" customFormat="1" ht="14.25" x14ac:dyDescent="0.2">
      <c r="A23" s="533"/>
      <c r="B23" s="991"/>
      <c r="C23" s="205"/>
      <c r="D23" s="536"/>
      <c r="E23" s="992"/>
    </row>
    <row r="24" spans="1:6" s="206" customFormat="1" ht="15.75" x14ac:dyDescent="0.25">
      <c r="A24" s="525" t="s">
        <v>49</v>
      </c>
      <c r="B24" s="1195">
        <v>1501.85</v>
      </c>
      <c r="C24" s="205"/>
      <c r="D24" s="520" t="s">
        <v>896</v>
      </c>
      <c r="E24" s="1196">
        <v>1495.2</v>
      </c>
    </row>
    <row r="25" spans="1:6" s="206" customFormat="1" ht="14.25" x14ac:dyDescent="0.2">
      <c r="A25" s="1473"/>
      <c r="B25" s="1474"/>
      <c r="C25" s="205"/>
      <c r="D25" s="208"/>
      <c r="E25" s="209"/>
    </row>
    <row r="26" spans="1:6" ht="13.5" thickBot="1" x14ac:dyDescent="0.25">
      <c r="A26" s="211"/>
      <c r="B26" s="212"/>
      <c r="C26" s="212"/>
      <c r="D26" s="212"/>
      <c r="E26" s="213"/>
    </row>
    <row r="29" spans="1:6" x14ac:dyDescent="0.2">
      <c r="B29" s="845"/>
    </row>
    <row r="30" spans="1:6" x14ac:dyDescent="0.2">
      <c r="B30" s="845"/>
    </row>
    <row r="32" spans="1:6" ht="15.75" x14ac:dyDescent="0.25">
      <c r="B32" s="210"/>
      <c r="E32" s="583"/>
      <c r="F32" s="198"/>
    </row>
    <row r="33" spans="2:5" x14ac:dyDescent="0.2">
      <c r="B33" s="343"/>
      <c r="E33" s="344"/>
    </row>
  </sheetData>
  <sheetProtection selectLockedCells="1" selectUnlockedCells="1"/>
  <mergeCells count="2">
    <mergeCell ref="A1:E1"/>
    <mergeCell ref="A25:B25"/>
  </mergeCells>
  <phoneticPr fontId="2" type="noConversion"/>
  <printOptions horizontalCentered="1" verticalCentered="1"/>
  <pageMargins left="0.39370078740157483" right="0.39370078740157483" top="0.78740157480314965" bottom="0.78740157480314965" header="0.39370078740157483" footer="0"/>
  <pageSetup scale="95" orientation="landscape" horizontalDpi="4294967293" verticalDpi="1200" r:id="rId1"/>
  <headerFooter alignWithMargins="0">
    <oddHeader>&amp;L
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showGridLines="0" workbookViewId="0">
      <pane ySplit="9" topLeftCell="A10" activePane="bottomLeft" state="frozen"/>
      <selection pane="bottomLeft" activeCell="I10" sqref="I10"/>
    </sheetView>
  </sheetViews>
  <sheetFormatPr defaultColWidth="11.42578125" defaultRowHeight="12.75" x14ac:dyDescent="0.2"/>
  <cols>
    <col min="1" max="1" width="16.28515625" style="9" customWidth="1"/>
    <col min="2" max="2" width="17.140625" style="9" customWidth="1"/>
    <col min="3" max="3" width="11.85546875" style="9" customWidth="1"/>
    <col min="4" max="4" width="5.7109375" style="9" customWidth="1"/>
    <col min="5" max="5" width="9.42578125" style="9" customWidth="1"/>
    <col min="6" max="6" width="3.42578125" style="9" customWidth="1"/>
    <col min="7" max="7" width="9.28515625" style="9" customWidth="1"/>
    <col min="8" max="8" width="3.5703125" style="9" customWidth="1"/>
    <col min="9" max="9" width="10.140625" style="12" customWidth="1"/>
    <col min="10" max="10" width="16.140625" style="9" customWidth="1"/>
    <col min="11" max="11" width="12" style="9" customWidth="1"/>
    <col min="12" max="12" width="3.5703125" style="16" customWidth="1"/>
    <col min="13" max="13" width="9.42578125" style="9" customWidth="1"/>
    <col min="14" max="14" width="3.5703125" style="9" customWidth="1"/>
    <col min="15" max="15" width="22.28515625" style="9" customWidth="1"/>
    <col min="16" max="16384" width="11.42578125" style="9"/>
  </cols>
  <sheetData>
    <row r="1" spans="1:17" ht="18" x14ac:dyDescent="0.25">
      <c r="A1" s="6"/>
      <c r="B1" s="7"/>
      <c r="C1" s="1804" t="s">
        <v>112</v>
      </c>
      <c r="D1" s="1804"/>
      <c r="E1" s="1804"/>
      <c r="F1" s="1804"/>
      <c r="G1" s="1804"/>
      <c r="H1" s="1804"/>
      <c r="I1" s="1804"/>
      <c r="J1" s="1804"/>
      <c r="K1" s="1804"/>
      <c r="L1" s="1804"/>
      <c r="M1" s="8"/>
      <c r="N1" s="8"/>
      <c r="O1" s="8"/>
    </row>
    <row r="2" spans="1:17" ht="7.5" customHeight="1" x14ac:dyDescent="0.2">
      <c r="A2" s="74"/>
      <c r="B2" s="74"/>
      <c r="C2" s="10"/>
      <c r="D2" s="11"/>
      <c r="E2" s="10"/>
      <c r="F2" s="10"/>
      <c r="G2" s="10"/>
      <c r="H2" s="10"/>
      <c r="K2" s="13"/>
      <c r="L2" s="14"/>
    </row>
    <row r="3" spans="1:17" ht="16.5" x14ac:dyDescent="0.2">
      <c r="A3" s="1327" t="s">
        <v>219</v>
      </c>
      <c r="B3" s="1328" t="s">
        <v>1280</v>
      </c>
      <c r="C3" s="1329"/>
      <c r="D3" s="1329"/>
      <c r="E3" s="1330"/>
      <c r="F3" s="1330"/>
      <c r="G3" s="1330"/>
      <c r="H3" s="1330"/>
      <c r="I3" s="1331"/>
      <c r="J3" s="1332"/>
      <c r="K3" s="1333"/>
      <c r="L3" s="1334" t="s">
        <v>96</v>
      </c>
      <c r="M3" s="1335"/>
      <c r="N3" s="1335"/>
      <c r="O3" s="1336">
        <f>Id!B11</f>
        <v>1192.5</v>
      </c>
    </row>
    <row r="4" spans="1:17" ht="16.5" x14ac:dyDescent="0.2">
      <c r="A4" s="1337" t="s">
        <v>220</v>
      </c>
      <c r="B4" s="1338" t="s">
        <v>1315</v>
      </c>
      <c r="C4" s="1339"/>
      <c r="D4" s="1339"/>
      <c r="E4" s="1340"/>
      <c r="F4" s="1340"/>
      <c r="G4" s="1340"/>
      <c r="H4" s="1340"/>
      <c r="I4" s="1341"/>
      <c r="J4" s="1342"/>
      <c r="K4" s="1343"/>
      <c r="L4" s="1344" t="s">
        <v>97</v>
      </c>
      <c r="M4" s="1345"/>
      <c r="N4" s="1345"/>
      <c r="O4" s="1346">
        <f>Id!E11</f>
        <v>3532</v>
      </c>
    </row>
    <row r="5" spans="1:17" ht="16.5" x14ac:dyDescent="0.2">
      <c r="A5" s="1347" t="s">
        <v>221</v>
      </c>
      <c r="B5" s="1348" t="s">
        <v>1316</v>
      </c>
      <c r="C5" s="1349"/>
      <c r="D5" s="1349"/>
      <c r="E5" s="1350"/>
      <c r="F5" s="1350"/>
      <c r="G5" s="1350"/>
      <c r="H5" s="1350"/>
      <c r="I5" s="1351"/>
      <c r="J5" s="1352"/>
      <c r="K5" s="1353"/>
      <c r="L5" s="1354" t="s">
        <v>222</v>
      </c>
      <c r="M5" s="1355"/>
      <c r="N5" s="1355"/>
      <c r="O5" s="1356">
        <f>Id!E3</f>
        <v>41449</v>
      </c>
    </row>
    <row r="6" spans="1:17" ht="7.5" customHeight="1" thickBot="1" x14ac:dyDescent="0.25">
      <c r="A6" s="11"/>
      <c r="B6" s="17"/>
      <c r="C6" s="11"/>
      <c r="D6" s="11"/>
      <c r="E6" s="10"/>
      <c r="F6" s="10"/>
      <c r="G6" s="10"/>
      <c r="H6" s="10"/>
      <c r="I6" s="18"/>
      <c r="J6" s="10"/>
      <c r="K6" s="11"/>
      <c r="L6" s="11"/>
      <c r="M6" s="19"/>
      <c r="N6" s="19"/>
      <c r="O6" s="19"/>
    </row>
    <row r="7" spans="1:17" x14ac:dyDescent="0.2">
      <c r="A7" s="1805" t="s">
        <v>56</v>
      </c>
      <c r="B7" s="1807" t="s">
        <v>57</v>
      </c>
      <c r="C7" s="1807"/>
      <c r="D7" s="1807" t="s">
        <v>3</v>
      </c>
      <c r="E7" s="1798" t="s">
        <v>113</v>
      </c>
      <c r="F7" s="1798"/>
      <c r="G7" s="1798" t="s">
        <v>55</v>
      </c>
      <c r="H7" s="1798"/>
      <c r="I7" s="1798"/>
      <c r="J7" s="1798"/>
      <c r="K7" s="1798" t="s">
        <v>114</v>
      </c>
      <c r="L7" s="1798"/>
      <c r="M7" s="1798" t="s">
        <v>115</v>
      </c>
      <c r="N7" s="1798"/>
      <c r="O7" s="1799" t="s">
        <v>116</v>
      </c>
    </row>
    <row r="8" spans="1:17" ht="13.5" thickBot="1" x14ac:dyDescent="0.25">
      <c r="A8" s="1806"/>
      <c r="B8" s="1808"/>
      <c r="C8" s="1808"/>
      <c r="D8" s="1808"/>
      <c r="E8" s="1801" t="s">
        <v>117</v>
      </c>
      <c r="F8" s="1802"/>
      <c r="G8" s="1803" t="s">
        <v>117</v>
      </c>
      <c r="H8" s="1803"/>
      <c r="I8" s="1325" t="s">
        <v>54</v>
      </c>
      <c r="J8" s="1326" t="s">
        <v>118</v>
      </c>
      <c r="K8" s="1803" t="s">
        <v>119</v>
      </c>
      <c r="L8" s="1803"/>
      <c r="M8" s="1803" t="s">
        <v>117</v>
      </c>
      <c r="N8" s="1803"/>
      <c r="O8" s="1800"/>
    </row>
    <row r="9" spans="1:17" s="1324" customFormat="1" ht="5.25" customHeight="1" thickTop="1" thickBot="1" x14ac:dyDescent="0.25">
      <c r="A9" s="1318"/>
      <c r="B9" s="1319"/>
      <c r="C9" s="1319"/>
      <c r="D9" s="1319"/>
      <c r="E9" s="1320"/>
      <c r="F9" s="1320"/>
      <c r="G9" s="1321"/>
      <c r="H9" s="1321"/>
      <c r="I9" s="1322"/>
      <c r="J9" s="1321"/>
      <c r="K9" s="1321"/>
      <c r="L9" s="1321"/>
      <c r="M9" s="1321"/>
      <c r="N9" s="1321"/>
      <c r="O9" s="1323"/>
    </row>
    <row r="10" spans="1:17" ht="24.95" customHeight="1" x14ac:dyDescent="0.2">
      <c r="A10" s="21" t="s">
        <v>62</v>
      </c>
      <c r="B10" s="1809" t="s">
        <v>63</v>
      </c>
      <c r="C10" s="1810"/>
      <c r="D10" s="22" t="s">
        <v>5</v>
      </c>
      <c r="E10" s="23">
        <v>1</v>
      </c>
      <c r="F10" s="852" t="s">
        <v>200</v>
      </c>
      <c r="G10" s="24">
        <v>1171.2</v>
      </c>
      <c r="H10" s="852" t="s">
        <v>885</v>
      </c>
      <c r="I10" s="25">
        <v>41418</v>
      </c>
      <c r="J10" s="26" t="s">
        <v>1415</v>
      </c>
      <c r="K10" s="220">
        <f>I10+365</f>
        <v>41783</v>
      </c>
      <c r="L10" s="27"/>
      <c r="M10" s="24">
        <f>K10-$O$5</f>
        <v>334</v>
      </c>
      <c r="N10" s="970" t="s">
        <v>906</v>
      </c>
      <c r="O10" s="28" t="s">
        <v>1411</v>
      </c>
      <c r="P10" s="9" t="str">
        <f>IF(M:M&lt;=50,"ALERTA","")</f>
        <v/>
      </c>
    </row>
    <row r="11" spans="1:17" ht="25.5" customHeight="1" x14ac:dyDescent="0.2">
      <c r="A11" s="29" t="s">
        <v>76</v>
      </c>
      <c r="B11" s="30" t="s">
        <v>77</v>
      </c>
      <c r="C11" s="31"/>
      <c r="D11" s="32" t="s">
        <v>5</v>
      </c>
      <c r="E11" s="33">
        <v>24</v>
      </c>
      <c r="F11" s="969" t="s">
        <v>880</v>
      </c>
      <c r="G11" s="35">
        <v>1007</v>
      </c>
      <c r="H11" s="854" t="s">
        <v>885</v>
      </c>
      <c r="I11" s="36">
        <v>41134</v>
      </c>
      <c r="J11" s="37" t="s">
        <v>1322</v>
      </c>
      <c r="K11" s="219">
        <f>I11+(365*2)</f>
        <v>41864</v>
      </c>
      <c r="L11" s="38"/>
      <c r="M11" s="35">
        <f>K11-$O$5</f>
        <v>415</v>
      </c>
      <c r="N11" s="969" t="s">
        <v>906</v>
      </c>
      <c r="O11" s="39" t="s">
        <v>121</v>
      </c>
      <c r="P11" s="9" t="str">
        <f>IF(M:M&lt;=50,"ALERTA","")</f>
        <v/>
      </c>
    </row>
    <row r="12" spans="1:17" ht="25.5" customHeight="1" x14ac:dyDescent="0.2">
      <c r="A12" s="29" t="s">
        <v>76</v>
      </c>
      <c r="B12" s="30" t="s">
        <v>78</v>
      </c>
      <c r="C12" s="31"/>
      <c r="D12" s="32" t="s">
        <v>5</v>
      </c>
      <c r="E12" s="33">
        <v>24</v>
      </c>
      <c r="F12" s="969" t="s">
        <v>880</v>
      </c>
      <c r="G12" s="35">
        <v>1007</v>
      </c>
      <c r="H12" s="854" t="s">
        <v>885</v>
      </c>
      <c r="I12" s="36">
        <v>41134</v>
      </c>
      <c r="J12" s="37" t="s">
        <v>1322</v>
      </c>
      <c r="K12" s="219">
        <f t="shared" ref="K12:K14" si="0">I12+(365*2)</f>
        <v>41864</v>
      </c>
      <c r="L12" s="38"/>
      <c r="M12" s="35">
        <f>K12-$O$5</f>
        <v>415</v>
      </c>
      <c r="N12" s="969" t="s">
        <v>906</v>
      </c>
      <c r="O12" s="39" t="s">
        <v>121</v>
      </c>
      <c r="P12" s="9" t="str">
        <f>IF(M:M&lt;=50,"ALERTA","")</f>
        <v/>
      </c>
    </row>
    <row r="13" spans="1:17" ht="25.5" customHeight="1" x14ac:dyDescent="0.2">
      <c r="A13" s="40" t="s">
        <v>60</v>
      </c>
      <c r="B13" s="1790" t="s">
        <v>61</v>
      </c>
      <c r="C13" s="1791"/>
      <c r="D13" s="41" t="s">
        <v>5</v>
      </c>
      <c r="E13" s="33">
        <v>24</v>
      </c>
      <c r="F13" s="969" t="s">
        <v>880</v>
      </c>
      <c r="G13" s="35">
        <v>1007</v>
      </c>
      <c r="H13" s="854" t="s">
        <v>885</v>
      </c>
      <c r="I13" s="36">
        <v>41134</v>
      </c>
      <c r="J13" s="37" t="s">
        <v>1322</v>
      </c>
      <c r="K13" s="219">
        <f t="shared" si="0"/>
        <v>41864</v>
      </c>
      <c r="L13" s="45"/>
      <c r="M13" s="46">
        <f>K13-$O$5</f>
        <v>415</v>
      </c>
      <c r="N13" s="969" t="s">
        <v>906</v>
      </c>
      <c r="O13" s="39" t="s">
        <v>121</v>
      </c>
      <c r="P13" s="9" t="str">
        <f>IF(M:M&lt;=50,"ALERTA","")</f>
        <v/>
      </c>
    </row>
    <row r="14" spans="1:17" ht="24.95" customHeight="1" x14ac:dyDescent="0.2">
      <c r="A14" s="40" t="s">
        <v>58</v>
      </c>
      <c r="B14" s="1790" t="s">
        <v>59</v>
      </c>
      <c r="C14" s="1791"/>
      <c r="D14" s="41" t="s">
        <v>5</v>
      </c>
      <c r="E14" s="33">
        <v>24</v>
      </c>
      <c r="F14" s="969" t="s">
        <v>880</v>
      </c>
      <c r="G14" s="46">
        <v>1189.5999999999999</v>
      </c>
      <c r="H14" s="1308" t="s">
        <v>885</v>
      </c>
      <c r="I14" s="42">
        <v>41440</v>
      </c>
      <c r="J14" s="43" t="s">
        <v>1447</v>
      </c>
      <c r="K14" s="219">
        <f t="shared" si="0"/>
        <v>42170</v>
      </c>
      <c r="L14" s="45"/>
      <c r="M14" s="46">
        <f>K14-$O$5</f>
        <v>721</v>
      </c>
      <c r="N14" s="969" t="s">
        <v>906</v>
      </c>
      <c r="O14" s="39" t="s">
        <v>121</v>
      </c>
      <c r="P14" s="9" t="str">
        <f>IF(M:M&lt;=50,"ALERTA","")</f>
        <v/>
      </c>
    </row>
    <row r="15" spans="1:17" ht="25.5" customHeight="1" x14ac:dyDescent="0.2">
      <c r="A15" s="40" t="s">
        <v>75</v>
      </c>
      <c r="B15" s="1790" t="s">
        <v>122</v>
      </c>
      <c r="C15" s="1791"/>
      <c r="D15" s="41" t="s">
        <v>5</v>
      </c>
      <c r="E15" s="1792" t="s">
        <v>68</v>
      </c>
      <c r="F15" s="1793"/>
      <c r="G15" s="35">
        <v>1007</v>
      </c>
      <c r="H15" s="926" t="s">
        <v>885</v>
      </c>
      <c r="I15" s="233">
        <v>41134</v>
      </c>
      <c r="J15" s="1180" t="s">
        <v>1322</v>
      </c>
      <c r="K15" s="46" t="s">
        <v>4</v>
      </c>
      <c r="L15" s="45"/>
      <c r="M15" s="46" t="s">
        <v>4</v>
      </c>
      <c r="N15" s="50"/>
      <c r="O15" s="49" t="s">
        <v>199</v>
      </c>
    </row>
    <row r="16" spans="1:17" ht="24.95" customHeight="1" x14ac:dyDescent="0.2">
      <c r="A16" s="40" t="s">
        <v>79</v>
      </c>
      <c r="B16" s="1790" t="s">
        <v>80</v>
      </c>
      <c r="C16" s="1791"/>
      <c r="D16" s="41" t="s">
        <v>5</v>
      </c>
      <c r="E16" s="33">
        <v>2920</v>
      </c>
      <c r="F16" s="969" t="s">
        <v>906</v>
      </c>
      <c r="G16" s="46">
        <v>1171.2</v>
      </c>
      <c r="H16" s="853" t="s">
        <v>885</v>
      </c>
      <c r="I16" s="42">
        <v>41418</v>
      </c>
      <c r="J16" s="43" t="s">
        <v>1415</v>
      </c>
      <c r="K16" s="44">
        <f>E16+I16</f>
        <v>44338</v>
      </c>
      <c r="L16" s="45"/>
      <c r="M16" s="46">
        <f>K16-$O$5</f>
        <v>2889</v>
      </c>
      <c r="N16" s="969" t="s">
        <v>906</v>
      </c>
      <c r="O16" s="49" t="s">
        <v>130</v>
      </c>
      <c r="P16" s="9" t="str">
        <f>IF(M:M&lt;=50,"ALERTA","")</f>
        <v/>
      </c>
      <c r="Q16" s="9">
        <f>2920/365</f>
        <v>8</v>
      </c>
    </row>
    <row r="17" spans="1:15" ht="25.5" customHeight="1" x14ac:dyDescent="0.2">
      <c r="A17" s="40" t="s">
        <v>79</v>
      </c>
      <c r="B17" s="1790" t="s">
        <v>81</v>
      </c>
      <c r="C17" s="1791"/>
      <c r="D17" s="41" t="s">
        <v>5</v>
      </c>
      <c r="E17" s="33" t="s">
        <v>201</v>
      </c>
      <c r="F17" s="969"/>
      <c r="G17" s="46">
        <v>1171.2</v>
      </c>
      <c r="H17" s="1158" t="s">
        <v>885</v>
      </c>
      <c r="I17" s="42">
        <v>41418</v>
      </c>
      <c r="J17" s="37" t="s">
        <v>1415</v>
      </c>
      <c r="K17" s="44" t="s">
        <v>1323</v>
      </c>
      <c r="L17" s="45"/>
      <c r="M17" s="46" t="s">
        <v>1323</v>
      </c>
      <c r="N17" s="34"/>
      <c r="O17" s="49" t="s">
        <v>877</v>
      </c>
    </row>
    <row r="18" spans="1:15" ht="25.5" customHeight="1" x14ac:dyDescent="0.2">
      <c r="A18" s="29" t="s">
        <v>1444</v>
      </c>
      <c r="B18" s="1790" t="s">
        <v>1443</v>
      </c>
      <c r="C18" s="1791"/>
      <c r="D18" s="32" t="s">
        <v>5</v>
      </c>
      <c r="E18" s="33">
        <v>1</v>
      </c>
      <c r="F18" s="1269" t="s">
        <v>200</v>
      </c>
      <c r="G18" s="46">
        <v>1189.5999999999999</v>
      </c>
      <c r="H18" s="1269" t="s">
        <v>885</v>
      </c>
      <c r="I18" s="42">
        <v>41440</v>
      </c>
      <c r="J18" s="43" t="s">
        <v>1447</v>
      </c>
      <c r="K18" s="44">
        <f>I18+(365)</f>
        <v>41805</v>
      </c>
      <c r="L18" s="45"/>
      <c r="M18" s="46">
        <f>K18-O5</f>
        <v>356</v>
      </c>
      <c r="N18" s="1270" t="s">
        <v>906</v>
      </c>
      <c r="O18" s="39" t="s">
        <v>1445</v>
      </c>
    </row>
    <row r="19" spans="1:15" ht="25.5" customHeight="1" x14ac:dyDescent="0.2">
      <c r="A19" s="29" t="s">
        <v>1444</v>
      </c>
      <c r="B19" s="1790" t="s">
        <v>1443</v>
      </c>
      <c r="C19" s="1791"/>
      <c r="D19" s="32" t="s">
        <v>5</v>
      </c>
      <c r="E19" s="33">
        <v>5</v>
      </c>
      <c r="F19" s="1269" t="s">
        <v>200</v>
      </c>
      <c r="G19" s="46">
        <v>1189.5999999999999</v>
      </c>
      <c r="H19" s="1269" t="s">
        <v>885</v>
      </c>
      <c r="I19" s="42">
        <v>41440</v>
      </c>
      <c r="J19" s="43" t="s">
        <v>1447</v>
      </c>
      <c r="K19" s="44">
        <f>I19+(365*5)</f>
        <v>43265</v>
      </c>
      <c r="L19" s="45"/>
      <c r="M19" s="46">
        <f>K19-O5</f>
        <v>1816</v>
      </c>
      <c r="N19" s="1270" t="s">
        <v>906</v>
      </c>
      <c r="O19" s="39" t="s">
        <v>1446</v>
      </c>
    </row>
    <row r="20" spans="1:15" ht="25.5" customHeight="1" x14ac:dyDescent="0.2">
      <c r="A20" s="29" t="s">
        <v>64</v>
      </c>
      <c r="B20" s="1794" t="s">
        <v>65</v>
      </c>
      <c r="C20" s="1795"/>
      <c r="D20" s="32" t="s">
        <v>6</v>
      </c>
      <c r="E20" s="1796" t="s">
        <v>68</v>
      </c>
      <c r="F20" s="1797"/>
      <c r="G20" s="1178" t="s">
        <v>4</v>
      </c>
      <c r="H20" s="926"/>
      <c r="I20" s="1179" t="s">
        <v>4</v>
      </c>
      <c r="J20" s="1180" t="s">
        <v>4</v>
      </c>
      <c r="K20" s="46" t="s">
        <v>4</v>
      </c>
      <c r="L20" s="45"/>
      <c r="M20" s="46" t="s">
        <v>4</v>
      </c>
      <c r="N20" s="1315"/>
      <c r="O20" s="51" t="s">
        <v>123</v>
      </c>
    </row>
    <row r="21" spans="1:15" ht="25.5" customHeight="1" x14ac:dyDescent="0.2">
      <c r="A21" s="40" t="s">
        <v>66</v>
      </c>
      <c r="B21" s="1790" t="s">
        <v>67</v>
      </c>
      <c r="C21" s="1791"/>
      <c r="D21" s="41" t="s">
        <v>5</v>
      </c>
      <c r="E21" s="1792" t="s">
        <v>68</v>
      </c>
      <c r="F21" s="1793"/>
      <c r="G21" s="46">
        <v>1171.2</v>
      </c>
      <c r="H21" s="1158" t="s">
        <v>885</v>
      </c>
      <c r="I21" s="42">
        <v>41418</v>
      </c>
      <c r="J21" s="43" t="s">
        <v>1415</v>
      </c>
      <c r="K21" s="46" t="s">
        <v>68</v>
      </c>
      <c r="L21" s="45"/>
      <c r="M21" s="46" t="s">
        <v>1323</v>
      </c>
      <c r="N21" s="52"/>
      <c r="O21" s="49" t="s">
        <v>1318</v>
      </c>
    </row>
    <row r="22" spans="1:15" ht="25.5" customHeight="1" x14ac:dyDescent="0.2">
      <c r="A22" s="1031" t="s">
        <v>1341</v>
      </c>
      <c r="B22" s="1790" t="s">
        <v>1342</v>
      </c>
      <c r="C22" s="1791"/>
      <c r="D22" s="41" t="s">
        <v>6</v>
      </c>
      <c r="E22" s="1017" t="s">
        <v>124</v>
      </c>
      <c r="F22" s="1018"/>
      <c r="G22" s="46" t="s">
        <v>4</v>
      </c>
      <c r="H22" s="1016"/>
      <c r="I22" s="42" t="s">
        <v>4</v>
      </c>
      <c r="J22" s="43" t="s">
        <v>4</v>
      </c>
      <c r="K22" s="46" t="s">
        <v>4</v>
      </c>
      <c r="L22" s="45"/>
      <c r="M22" s="46" t="s">
        <v>4</v>
      </c>
      <c r="N22" s="52"/>
      <c r="O22" s="49" t="s">
        <v>1343</v>
      </c>
    </row>
    <row r="23" spans="1:15" ht="25.5" customHeight="1" x14ac:dyDescent="0.2">
      <c r="A23" s="1031" t="s">
        <v>1344</v>
      </c>
      <c r="B23" s="1790" t="s">
        <v>1345</v>
      </c>
      <c r="C23" s="1791"/>
      <c r="D23" s="41" t="s">
        <v>6</v>
      </c>
      <c r="E23" s="1017" t="s">
        <v>124</v>
      </c>
      <c r="F23" s="1018"/>
      <c r="G23" s="46" t="s">
        <v>4</v>
      </c>
      <c r="H23" s="1016"/>
      <c r="I23" s="42" t="s">
        <v>4</v>
      </c>
      <c r="J23" s="43" t="s">
        <v>4</v>
      </c>
      <c r="K23" s="46" t="s">
        <v>4</v>
      </c>
      <c r="L23" s="45"/>
      <c r="M23" s="46" t="s">
        <v>4</v>
      </c>
      <c r="N23" s="52"/>
      <c r="O23" s="49" t="s">
        <v>1343</v>
      </c>
    </row>
    <row r="24" spans="1:15" ht="25.5" customHeight="1" x14ac:dyDescent="0.2">
      <c r="A24" s="40" t="s">
        <v>69</v>
      </c>
      <c r="B24" s="1790" t="s">
        <v>70</v>
      </c>
      <c r="C24" s="1791"/>
      <c r="D24" s="41" t="s">
        <v>6</v>
      </c>
      <c r="E24" s="1792" t="s">
        <v>68</v>
      </c>
      <c r="F24" s="1793"/>
      <c r="G24" s="46">
        <v>1007</v>
      </c>
      <c r="H24" s="853" t="s">
        <v>885</v>
      </c>
      <c r="I24" s="42">
        <v>41143</v>
      </c>
      <c r="J24" s="43" t="s">
        <v>1314</v>
      </c>
      <c r="K24" s="46" t="s">
        <v>4</v>
      </c>
      <c r="L24" s="45"/>
      <c r="M24" s="46" t="s">
        <v>1323</v>
      </c>
      <c r="N24" s="34"/>
      <c r="O24" s="49" t="s">
        <v>1318</v>
      </c>
    </row>
    <row r="25" spans="1:15" ht="25.5" customHeight="1" x14ac:dyDescent="0.2">
      <c r="A25" s="1031" t="s">
        <v>1346</v>
      </c>
      <c r="B25" s="1790" t="s">
        <v>1347</v>
      </c>
      <c r="C25" s="1791"/>
      <c r="D25" s="41" t="s">
        <v>6</v>
      </c>
      <c r="E25" s="1017" t="s">
        <v>124</v>
      </c>
      <c r="F25" s="1018"/>
      <c r="G25" s="1175" t="s">
        <v>4</v>
      </c>
      <c r="H25" s="1176"/>
      <c r="I25" s="233" t="s">
        <v>4</v>
      </c>
      <c r="J25" s="1177" t="s">
        <v>4</v>
      </c>
      <c r="K25" s="46" t="s">
        <v>4</v>
      </c>
      <c r="L25" s="45"/>
      <c r="M25" s="46" t="s">
        <v>4</v>
      </c>
      <c r="N25" s="34"/>
      <c r="O25" s="49" t="s">
        <v>1348</v>
      </c>
    </row>
    <row r="26" spans="1:15" ht="25.5" customHeight="1" x14ac:dyDescent="0.2">
      <c r="A26" s="40" t="s">
        <v>71</v>
      </c>
      <c r="B26" s="1790" t="s">
        <v>72</v>
      </c>
      <c r="C26" s="1791"/>
      <c r="D26" s="41" t="s">
        <v>5</v>
      </c>
      <c r="E26" s="1792" t="s">
        <v>68</v>
      </c>
      <c r="F26" s="1793"/>
      <c r="G26" s="46">
        <v>1171.2</v>
      </c>
      <c r="H26" s="1158" t="s">
        <v>885</v>
      </c>
      <c r="I26" s="42">
        <v>41418</v>
      </c>
      <c r="J26" s="43" t="s">
        <v>1415</v>
      </c>
      <c r="K26" s="46" t="s">
        <v>68</v>
      </c>
      <c r="L26" s="45"/>
      <c r="M26" s="46" t="s">
        <v>1323</v>
      </c>
      <c r="N26" s="52"/>
      <c r="O26" s="49" t="s">
        <v>1318</v>
      </c>
    </row>
    <row r="27" spans="1:15" ht="25.5" customHeight="1" x14ac:dyDescent="0.2">
      <c r="A27" s="40" t="s">
        <v>73</v>
      </c>
      <c r="B27" s="1790" t="s">
        <v>74</v>
      </c>
      <c r="C27" s="1791"/>
      <c r="D27" s="41" t="s">
        <v>6</v>
      </c>
      <c r="E27" s="1792" t="s">
        <v>124</v>
      </c>
      <c r="F27" s="1793"/>
      <c r="G27" s="46">
        <v>1007</v>
      </c>
      <c r="H27" s="853" t="s">
        <v>885</v>
      </c>
      <c r="I27" s="42">
        <v>41143</v>
      </c>
      <c r="J27" s="43" t="s">
        <v>1314</v>
      </c>
      <c r="K27" s="46" t="s">
        <v>4</v>
      </c>
      <c r="L27" s="45"/>
      <c r="M27" s="46" t="s">
        <v>4</v>
      </c>
      <c r="N27" s="34"/>
      <c r="O27" s="49" t="s">
        <v>1318</v>
      </c>
    </row>
    <row r="28" spans="1:15" ht="25.5" customHeight="1" x14ac:dyDescent="0.2">
      <c r="A28" s="1031" t="s">
        <v>1338</v>
      </c>
      <c r="B28" s="1790" t="s">
        <v>1339</v>
      </c>
      <c r="C28" s="1791"/>
      <c r="D28" s="41" t="s">
        <v>6</v>
      </c>
      <c r="E28" s="1017" t="s">
        <v>124</v>
      </c>
      <c r="F28" s="1018"/>
      <c r="G28" s="35" t="s">
        <v>4</v>
      </c>
      <c r="H28" s="1019"/>
      <c r="I28" s="42" t="s">
        <v>4</v>
      </c>
      <c r="J28" s="43" t="s">
        <v>4</v>
      </c>
      <c r="K28" s="46" t="s">
        <v>4</v>
      </c>
      <c r="L28" s="45"/>
      <c r="M28" s="46" t="s">
        <v>4</v>
      </c>
      <c r="N28" s="34"/>
      <c r="O28" s="49" t="s">
        <v>1340</v>
      </c>
    </row>
    <row r="29" spans="1:15" ht="24.95" customHeight="1" x14ac:dyDescent="0.2">
      <c r="A29" s="40" t="s">
        <v>98</v>
      </c>
      <c r="B29" s="53" t="s">
        <v>99</v>
      </c>
      <c r="C29" s="54"/>
      <c r="D29" s="41" t="s">
        <v>6</v>
      </c>
      <c r="E29" s="47">
        <v>50</v>
      </c>
      <c r="F29" s="969" t="s">
        <v>885</v>
      </c>
      <c r="G29" s="35" t="s">
        <v>4</v>
      </c>
      <c r="H29" s="854"/>
      <c r="I29" s="42" t="s">
        <v>4</v>
      </c>
      <c r="J29" s="43" t="s">
        <v>4</v>
      </c>
      <c r="K29" s="46" t="s">
        <v>4</v>
      </c>
      <c r="L29" s="45"/>
      <c r="M29" s="46" t="s">
        <v>4</v>
      </c>
      <c r="N29" s="34"/>
      <c r="O29" s="49" t="s">
        <v>125</v>
      </c>
    </row>
    <row r="30" spans="1:15" ht="25.5" customHeight="1" x14ac:dyDescent="0.2">
      <c r="A30" s="40" t="s">
        <v>100</v>
      </c>
      <c r="B30" s="1790" t="s">
        <v>101</v>
      </c>
      <c r="C30" s="1791"/>
      <c r="D30" s="41" t="s">
        <v>6</v>
      </c>
      <c r="E30" s="1792" t="s">
        <v>124</v>
      </c>
      <c r="F30" s="1793"/>
      <c r="G30" s="35" t="s">
        <v>4</v>
      </c>
      <c r="H30" s="854"/>
      <c r="I30" s="42" t="s">
        <v>4</v>
      </c>
      <c r="J30" s="43" t="s">
        <v>4</v>
      </c>
      <c r="K30" s="46" t="s">
        <v>4</v>
      </c>
      <c r="L30" s="45"/>
      <c r="M30" s="46" t="s">
        <v>4</v>
      </c>
      <c r="N30" s="34"/>
      <c r="O30" s="49" t="s">
        <v>126</v>
      </c>
    </row>
    <row r="31" spans="1:15" ht="25.5" customHeight="1" x14ac:dyDescent="0.2">
      <c r="A31" s="40" t="s">
        <v>1421</v>
      </c>
      <c r="B31" s="1790" t="s">
        <v>127</v>
      </c>
      <c r="C31" s="1791"/>
      <c r="D31" s="41" t="s">
        <v>6</v>
      </c>
      <c r="E31" s="47"/>
      <c r="F31" s="48" t="s">
        <v>68</v>
      </c>
      <c r="G31" s="46" t="s">
        <v>4</v>
      </c>
      <c r="H31" s="853"/>
      <c r="I31" s="42" t="s">
        <v>4</v>
      </c>
      <c r="J31" s="43" t="s">
        <v>4</v>
      </c>
      <c r="K31" s="46" t="s">
        <v>4</v>
      </c>
      <c r="L31" s="45"/>
      <c r="M31" s="46" t="s">
        <v>4</v>
      </c>
      <c r="N31" s="34"/>
      <c r="O31" s="49" t="s">
        <v>128</v>
      </c>
    </row>
    <row r="32" spans="1:15" ht="25.5" customHeight="1" thickBot="1" x14ac:dyDescent="0.25">
      <c r="A32" s="341" t="s">
        <v>111</v>
      </c>
      <c r="B32" s="1787" t="s">
        <v>129</v>
      </c>
      <c r="C32" s="1788"/>
      <c r="D32" s="238" t="s">
        <v>6</v>
      </c>
      <c r="E32" s="239"/>
      <c r="F32" s="240" t="s">
        <v>68</v>
      </c>
      <c r="G32" s="241" t="s">
        <v>4</v>
      </c>
      <c r="H32" s="855"/>
      <c r="I32" s="243" t="s">
        <v>4</v>
      </c>
      <c r="J32" s="244" t="s">
        <v>4</v>
      </c>
      <c r="K32" s="241" t="s">
        <v>4</v>
      </c>
      <c r="L32" s="245"/>
      <c r="M32" s="241" t="s">
        <v>4</v>
      </c>
      <c r="N32" s="242"/>
      <c r="O32" s="1015" t="s">
        <v>131</v>
      </c>
    </row>
    <row r="33" spans="1:15" ht="10.15" customHeight="1" x14ac:dyDescent="0.2"/>
    <row r="34" spans="1:15" x14ac:dyDescent="0.2">
      <c r="B34" s="56"/>
    </row>
    <row r="35" spans="1:15" x14ac:dyDescent="0.2">
      <c r="A35" s="55"/>
      <c r="B35" s="56"/>
      <c r="C35" s="57"/>
      <c r="D35" s="58"/>
      <c r="E35" s="59"/>
      <c r="F35" s="60"/>
      <c r="G35" s="61"/>
      <c r="H35" s="60"/>
      <c r="I35" s="62"/>
      <c r="J35" s="63"/>
      <c r="K35" s="60"/>
      <c r="L35" s="55"/>
      <c r="M35" s="64"/>
      <c r="N35" s="65"/>
      <c r="O35" s="55"/>
    </row>
    <row r="36" spans="1:15" ht="20.100000000000001" customHeight="1" x14ac:dyDescent="0.2">
      <c r="A36" s="55"/>
      <c r="B36" s="56"/>
      <c r="C36" s="57"/>
      <c r="D36" s="58"/>
      <c r="E36" s="59"/>
      <c r="F36" s="60"/>
      <c r="G36" s="61"/>
      <c r="H36" s="60"/>
      <c r="I36" s="62"/>
      <c r="J36" s="63"/>
      <c r="K36" s="60"/>
      <c r="L36" s="55"/>
      <c r="M36" s="61"/>
      <c r="N36" s="60"/>
      <c r="O36" s="57"/>
    </row>
    <row r="37" spans="1:15" ht="20.100000000000001" customHeight="1" x14ac:dyDescent="0.2">
      <c r="A37" s="55"/>
      <c r="B37" s="56"/>
      <c r="C37" s="57"/>
      <c r="D37" s="58"/>
      <c r="E37" s="59"/>
      <c r="F37" s="60"/>
      <c r="G37" s="61"/>
      <c r="H37" s="60"/>
      <c r="I37" s="62"/>
      <c r="J37" s="63"/>
      <c r="K37" s="60"/>
      <c r="L37" s="55"/>
      <c r="M37" s="61"/>
      <c r="N37" s="60"/>
      <c r="O37" s="57"/>
    </row>
    <row r="38" spans="1:15" ht="20.100000000000001" customHeight="1" x14ac:dyDescent="0.2">
      <c r="A38" s="55"/>
      <c r="B38" s="56"/>
      <c r="C38" s="57"/>
      <c r="D38" s="58"/>
      <c r="E38" s="59"/>
      <c r="F38" s="60"/>
      <c r="G38" s="61"/>
      <c r="H38" s="60"/>
      <c r="I38" s="62"/>
      <c r="J38" s="63"/>
      <c r="K38" s="60"/>
      <c r="L38" s="55"/>
      <c r="M38" s="61"/>
      <c r="N38" s="60"/>
      <c r="O38" s="57"/>
    </row>
    <row r="39" spans="1:15" ht="20.100000000000001" customHeight="1" x14ac:dyDescent="0.2">
      <c r="A39" s="55"/>
      <c r="B39" s="56"/>
      <c r="C39" s="57"/>
      <c r="D39" s="58"/>
      <c r="E39" s="59"/>
      <c r="F39" s="60"/>
      <c r="G39" s="61"/>
      <c r="H39" s="60"/>
      <c r="I39" s="62"/>
      <c r="J39" s="63"/>
      <c r="K39" s="60"/>
      <c r="L39" s="55"/>
      <c r="M39" s="61"/>
      <c r="N39" s="60"/>
      <c r="O39" s="57"/>
    </row>
    <row r="40" spans="1:15" ht="20.100000000000001" customHeight="1" x14ac:dyDescent="0.2">
      <c r="A40" s="55"/>
      <c r="B40" s="56"/>
      <c r="C40" s="57"/>
      <c r="D40" s="58"/>
      <c r="E40" s="59"/>
      <c r="F40" s="60"/>
      <c r="G40" s="61"/>
      <c r="H40" s="60"/>
      <c r="I40" s="62"/>
      <c r="J40" s="63"/>
      <c r="K40" s="60"/>
      <c r="L40" s="55"/>
      <c r="M40" s="61"/>
      <c r="N40" s="60"/>
      <c r="O40" s="57"/>
    </row>
    <row r="41" spans="1:15" ht="20.100000000000001" customHeight="1" x14ac:dyDescent="0.2">
      <c r="A41" s="55"/>
      <c r="B41" s="56"/>
      <c r="C41" s="57"/>
      <c r="D41" s="58"/>
      <c r="E41" s="59"/>
      <c r="F41" s="60"/>
      <c r="G41" s="61"/>
      <c r="H41" s="60"/>
      <c r="I41" s="62"/>
      <c r="J41" s="63"/>
      <c r="K41" s="60"/>
      <c r="L41" s="55"/>
      <c r="M41" s="61"/>
      <c r="N41" s="60"/>
      <c r="O41" s="57"/>
    </row>
    <row r="42" spans="1:15" ht="20.100000000000001" customHeight="1" x14ac:dyDescent="0.2">
      <c r="A42" s="55"/>
      <c r="B42" s="56"/>
      <c r="C42" s="57"/>
      <c r="D42" s="58"/>
      <c r="E42" s="59"/>
      <c r="F42" s="60"/>
      <c r="G42" s="61"/>
      <c r="H42" s="60"/>
      <c r="I42" s="62"/>
      <c r="J42" s="63"/>
      <c r="K42" s="60"/>
      <c r="L42" s="55"/>
      <c r="M42" s="61"/>
      <c r="N42" s="60"/>
      <c r="O42" s="57"/>
    </row>
    <row r="43" spans="1:15" ht="20.100000000000001" customHeight="1" x14ac:dyDescent="0.2">
      <c r="A43" s="55"/>
      <c r="B43" s="56"/>
      <c r="C43" s="57"/>
      <c r="D43" s="58"/>
      <c r="E43" s="59"/>
      <c r="F43" s="60"/>
      <c r="G43" s="61"/>
      <c r="H43" s="60"/>
      <c r="I43" s="62"/>
      <c r="J43" s="63"/>
      <c r="K43" s="61"/>
      <c r="L43" s="55"/>
      <c r="M43" s="61"/>
      <c r="N43" s="66"/>
      <c r="O43" s="67"/>
    </row>
    <row r="44" spans="1:15" ht="20.100000000000001" customHeight="1" x14ac:dyDescent="0.2">
      <c r="A44" s="55"/>
      <c r="B44" s="56"/>
      <c r="C44" s="57"/>
      <c r="D44" s="58"/>
      <c r="E44" s="59"/>
      <c r="F44" s="60"/>
      <c r="G44" s="61"/>
      <c r="H44" s="60"/>
      <c r="I44" s="62"/>
      <c r="J44" s="63"/>
      <c r="K44" s="60"/>
      <c r="L44" s="55"/>
      <c r="M44" s="61"/>
      <c r="N44" s="60"/>
      <c r="O44" s="57"/>
    </row>
    <row r="45" spans="1:15" ht="20.100000000000001" customHeight="1" x14ac:dyDescent="0.2">
      <c r="A45" s="55"/>
      <c r="B45" s="56"/>
      <c r="C45" s="57"/>
      <c r="D45" s="58"/>
      <c r="E45" s="59"/>
      <c r="F45" s="60"/>
      <c r="G45" s="61"/>
      <c r="H45" s="60"/>
      <c r="I45" s="62"/>
      <c r="J45" s="63"/>
      <c r="K45" s="60"/>
      <c r="L45" s="55"/>
      <c r="M45" s="61"/>
      <c r="N45" s="60"/>
      <c r="O45" s="57"/>
    </row>
    <row r="46" spans="1:15" ht="20.100000000000001" customHeight="1" x14ac:dyDescent="0.2">
      <c r="A46" s="55"/>
      <c r="B46" s="56"/>
      <c r="C46" s="57"/>
      <c r="D46" s="58"/>
      <c r="E46" s="59"/>
      <c r="F46" s="60"/>
      <c r="G46" s="61"/>
      <c r="H46" s="60"/>
      <c r="I46" s="62"/>
      <c r="J46" s="63"/>
      <c r="K46" s="60"/>
      <c r="L46" s="55"/>
      <c r="M46" s="61"/>
      <c r="N46" s="60"/>
      <c r="O46" s="57"/>
    </row>
    <row r="47" spans="1:15" ht="20.100000000000001" customHeight="1" x14ac:dyDescent="0.2">
      <c r="A47" s="55"/>
      <c r="B47" s="56"/>
      <c r="C47" s="57"/>
      <c r="D47" s="58"/>
      <c r="E47" s="59"/>
      <c r="F47" s="60"/>
      <c r="G47" s="61"/>
      <c r="H47" s="60"/>
      <c r="I47" s="62"/>
      <c r="J47" s="63"/>
      <c r="K47" s="60"/>
      <c r="L47" s="55"/>
      <c r="M47" s="61"/>
      <c r="N47" s="60"/>
      <c r="O47" s="57"/>
    </row>
    <row r="48" spans="1:15" ht="20.100000000000001" customHeight="1" x14ac:dyDescent="0.2">
      <c r="A48" s="55"/>
      <c r="B48" s="56"/>
      <c r="C48" s="57"/>
      <c r="D48" s="58"/>
      <c r="E48" s="59"/>
      <c r="F48" s="60"/>
      <c r="G48" s="61"/>
      <c r="H48" s="60"/>
      <c r="I48" s="62"/>
      <c r="J48" s="63"/>
      <c r="K48" s="60"/>
      <c r="L48" s="55"/>
      <c r="M48" s="61"/>
      <c r="N48" s="60"/>
      <c r="O48" s="57"/>
    </row>
    <row r="49" spans="1:15" x14ac:dyDescent="0.2">
      <c r="A49" s="55"/>
      <c r="B49" s="56"/>
      <c r="C49" s="57"/>
      <c r="D49" s="58"/>
      <c r="E49" s="59"/>
      <c r="F49" s="60"/>
      <c r="G49" s="61"/>
      <c r="H49" s="66"/>
      <c r="I49" s="62"/>
      <c r="J49" s="63"/>
      <c r="K49" s="61"/>
      <c r="L49" s="55"/>
      <c r="M49" s="61"/>
      <c r="N49" s="66"/>
      <c r="O49" s="67"/>
    </row>
    <row r="50" spans="1:15" ht="20.100000000000001" customHeight="1" x14ac:dyDescent="0.2">
      <c r="A50" s="55"/>
      <c r="B50" s="56"/>
      <c r="C50" s="57"/>
      <c r="D50" s="58"/>
      <c r="E50" s="59"/>
      <c r="F50" s="60"/>
      <c r="G50" s="61"/>
      <c r="H50" s="60"/>
      <c r="I50" s="62"/>
      <c r="J50" s="63"/>
      <c r="K50" s="60"/>
      <c r="L50" s="55"/>
      <c r="M50" s="61"/>
      <c r="N50" s="60"/>
      <c r="O50" s="57"/>
    </row>
    <row r="51" spans="1:15" ht="23.1" customHeight="1" x14ac:dyDescent="0.2">
      <c r="A51" s="55"/>
      <c r="B51" s="56"/>
      <c r="C51" s="57"/>
      <c r="D51" s="58"/>
      <c r="E51" s="59"/>
      <c r="F51" s="60"/>
      <c r="G51" s="61"/>
      <c r="H51" s="60"/>
      <c r="I51" s="62"/>
      <c r="J51" s="63"/>
      <c r="K51" s="61"/>
      <c r="L51" s="55"/>
      <c r="M51" s="61"/>
      <c r="N51" s="66"/>
      <c r="O51" s="67"/>
    </row>
    <row r="52" spans="1:15" ht="20.100000000000001" customHeight="1" x14ac:dyDescent="0.2">
      <c r="A52" s="55"/>
      <c r="B52" s="56"/>
      <c r="C52" s="57"/>
      <c r="D52" s="58"/>
      <c r="E52" s="59"/>
      <c r="F52" s="60"/>
      <c r="G52" s="61"/>
      <c r="H52" s="60"/>
      <c r="I52" s="62"/>
      <c r="J52" s="63"/>
      <c r="K52" s="60"/>
      <c r="L52" s="55"/>
      <c r="M52" s="61"/>
      <c r="N52" s="60"/>
      <c r="O52" s="57"/>
    </row>
    <row r="53" spans="1:15" ht="20.100000000000001" customHeight="1" x14ac:dyDescent="0.2">
      <c r="A53" s="68"/>
      <c r="B53" s="56"/>
      <c r="C53" s="57"/>
      <c r="D53" s="58"/>
      <c r="E53" s="59"/>
      <c r="F53" s="60"/>
      <c r="G53" s="61"/>
      <c r="H53" s="60"/>
      <c r="I53" s="62"/>
      <c r="J53" s="63"/>
      <c r="K53" s="60"/>
      <c r="L53" s="55"/>
      <c r="M53" s="61"/>
      <c r="N53" s="60"/>
      <c r="O53" s="57"/>
    </row>
    <row r="54" spans="1:15" s="69" customFormat="1" ht="21.2" customHeight="1" x14ac:dyDescent="0.2">
      <c r="A54" s="55"/>
      <c r="B54" s="56"/>
      <c r="C54" s="57"/>
      <c r="D54" s="58"/>
      <c r="E54" s="59"/>
      <c r="F54" s="60"/>
      <c r="G54" s="61"/>
      <c r="H54" s="60"/>
      <c r="I54" s="62"/>
      <c r="J54" s="63"/>
      <c r="K54" s="61"/>
      <c r="L54" s="55"/>
      <c r="M54" s="61"/>
      <c r="N54" s="66"/>
      <c r="O54" s="67"/>
    </row>
    <row r="55" spans="1:15" s="69" customFormat="1" ht="20.100000000000001" customHeight="1" x14ac:dyDescent="0.2">
      <c r="A55" s="68"/>
      <c r="B55" s="56"/>
      <c r="C55" s="57"/>
      <c r="D55" s="58"/>
      <c r="E55" s="59"/>
      <c r="F55" s="60"/>
      <c r="G55" s="61"/>
      <c r="H55" s="60"/>
      <c r="I55" s="62"/>
      <c r="J55" s="63"/>
      <c r="K55" s="60"/>
      <c r="L55" s="55"/>
      <c r="M55" s="61"/>
      <c r="N55" s="60"/>
      <c r="O55" s="57"/>
    </row>
    <row r="56" spans="1:15" s="69" customFormat="1" ht="20.100000000000001" customHeight="1" x14ac:dyDescent="0.2">
      <c r="A56" s="55"/>
      <c r="B56" s="56"/>
      <c r="C56" s="57"/>
      <c r="D56" s="58"/>
      <c r="E56" s="59"/>
      <c r="F56" s="60"/>
      <c r="G56" s="61"/>
      <c r="H56" s="60"/>
      <c r="I56" s="62"/>
      <c r="J56" s="63"/>
      <c r="K56" s="60"/>
      <c r="L56" s="55"/>
      <c r="M56" s="61"/>
      <c r="N56" s="60"/>
      <c r="O56" s="57"/>
    </row>
    <row r="57" spans="1:15" s="69" customFormat="1" ht="20.100000000000001" customHeight="1" x14ac:dyDescent="0.2">
      <c r="A57" s="55"/>
      <c r="B57" s="56"/>
      <c r="C57" s="57"/>
      <c r="D57" s="58"/>
      <c r="E57" s="59"/>
      <c r="F57" s="60"/>
      <c r="G57" s="61"/>
      <c r="H57" s="60"/>
      <c r="I57" s="62"/>
      <c r="J57" s="63"/>
      <c r="K57" s="60"/>
      <c r="L57" s="55"/>
      <c r="M57" s="61"/>
      <c r="N57" s="60"/>
      <c r="O57" s="57"/>
    </row>
    <row r="58" spans="1:15" s="69" customFormat="1" ht="23.1" customHeight="1" x14ac:dyDescent="0.2">
      <c r="A58" s="68"/>
      <c r="B58" s="56"/>
      <c r="C58" s="57"/>
      <c r="D58" s="58"/>
      <c r="E58" s="59"/>
      <c r="F58" s="60"/>
      <c r="G58" s="61"/>
      <c r="H58" s="60"/>
      <c r="I58" s="62"/>
      <c r="J58" s="63"/>
      <c r="K58" s="61"/>
      <c r="L58" s="55"/>
      <c r="M58" s="61"/>
      <c r="N58" s="66"/>
      <c r="O58" s="67"/>
    </row>
    <row r="59" spans="1:15" s="69" customFormat="1" ht="12.95" customHeight="1" x14ac:dyDescent="0.2">
      <c r="A59" s="1785"/>
      <c r="B59" s="1786"/>
      <c r="C59" s="1786"/>
      <c r="D59" s="70"/>
      <c r="E59" s="59"/>
      <c r="F59" s="60"/>
      <c r="G59" s="61"/>
      <c r="H59" s="60"/>
      <c r="I59" s="1784"/>
      <c r="J59" s="1780"/>
      <c r="K59" s="61"/>
      <c r="L59" s="55"/>
      <c r="M59" s="61"/>
      <c r="N59" s="66"/>
      <c r="O59" s="1781"/>
    </row>
    <row r="60" spans="1:15" s="69" customFormat="1" ht="12.95" customHeight="1" x14ac:dyDescent="0.2">
      <c r="A60" s="1785"/>
      <c r="B60" s="1786"/>
      <c r="C60" s="1786"/>
      <c r="D60" s="71"/>
      <c r="E60" s="59"/>
      <c r="F60" s="60"/>
      <c r="G60" s="61"/>
      <c r="H60" s="60"/>
      <c r="I60" s="1784"/>
      <c r="J60" s="1780"/>
      <c r="K60" s="61"/>
      <c r="L60" s="55"/>
      <c r="M60" s="61"/>
      <c r="N60" s="66"/>
      <c r="O60" s="1781"/>
    </row>
    <row r="61" spans="1:15" s="69" customFormat="1" ht="20.100000000000001" customHeight="1" x14ac:dyDescent="0.2">
      <c r="A61" s="55"/>
      <c r="B61" s="56"/>
      <c r="C61" s="57"/>
      <c r="D61" s="58"/>
      <c r="E61" s="59"/>
      <c r="F61" s="60"/>
      <c r="G61" s="61"/>
      <c r="H61" s="60"/>
      <c r="I61" s="62"/>
      <c r="J61" s="63"/>
      <c r="K61" s="60"/>
      <c r="L61" s="55"/>
      <c r="M61" s="61"/>
      <c r="N61" s="60"/>
      <c r="O61" s="57"/>
    </row>
    <row r="62" spans="1:15" s="69" customFormat="1" ht="20.100000000000001" customHeight="1" x14ac:dyDescent="0.2">
      <c r="A62" s="55"/>
      <c r="B62" s="56"/>
      <c r="C62" s="57"/>
      <c r="D62" s="58"/>
      <c r="E62" s="59"/>
      <c r="F62" s="60"/>
      <c r="G62" s="61"/>
      <c r="H62" s="60"/>
      <c r="I62" s="62"/>
      <c r="J62" s="63"/>
      <c r="K62" s="60"/>
      <c r="L62" s="55"/>
      <c r="M62" s="61"/>
      <c r="N62" s="60"/>
      <c r="O62" s="57"/>
    </row>
    <row r="63" spans="1:15" s="69" customFormat="1" x14ac:dyDescent="0.2">
      <c r="A63" s="68"/>
      <c r="B63" s="56"/>
      <c r="C63" s="57"/>
      <c r="D63" s="58"/>
      <c r="E63" s="59"/>
      <c r="F63" s="60"/>
      <c r="G63" s="61"/>
      <c r="H63" s="60"/>
      <c r="I63" s="62"/>
      <c r="J63" s="63"/>
      <c r="K63" s="60"/>
      <c r="L63" s="55"/>
      <c r="M63" s="61"/>
      <c r="N63" s="60"/>
      <c r="O63" s="57"/>
    </row>
    <row r="64" spans="1:15" s="69" customFormat="1" ht="20.100000000000001" customHeight="1" x14ac:dyDescent="0.2">
      <c r="A64" s="55"/>
      <c r="B64" s="56"/>
      <c r="C64" s="57"/>
      <c r="D64" s="58"/>
      <c r="E64" s="59"/>
      <c r="F64" s="60"/>
      <c r="G64" s="61"/>
      <c r="H64" s="60"/>
      <c r="I64" s="62"/>
      <c r="J64" s="63"/>
      <c r="K64" s="60"/>
      <c r="L64" s="55"/>
      <c r="M64" s="61"/>
      <c r="N64" s="60"/>
      <c r="O64" s="57"/>
    </row>
    <row r="65" spans="1:15" s="69" customFormat="1" ht="23.1" customHeight="1" x14ac:dyDescent="0.2">
      <c r="A65" s="68"/>
      <c r="B65" s="56"/>
      <c r="C65" s="57"/>
      <c r="D65" s="56"/>
      <c r="E65" s="1782"/>
      <c r="F65" s="1782"/>
      <c r="G65" s="1782"/>
      <c r="H65" s="1782"/>
      <c r="I65" s="1782"/>
      <c r="J65" s="63"/>
      <c r="K65" s="60"/>
      <c r="L65" s="55"/>
      <c r="M65" s="61"/>
      <c r="N65" s="60"/>
      <c r="O65" s="57"/>
    </row>
    <row r="66" spans="1:15" s="69" customFormat="1" ht="12.2" customHeight="1" x14ac:dyDescent="0.2">
      <c r="A66" s="1785"/>
      <c r="B66" s="1783"/>
      <c r="C66" s="1786"/>
      <c r="D66" s="58"/>
      <c r="E66" s="59"/>
      <c r="F66" s="60"/>
      <c r="G66" s="1789"/>
      <c r="H66" s="1783"/>
      <c r="I66" s="1784"/>
      <c r="J66" s="1780"/>
      <c r="K66" s="61"/>
      <c r="L66" s="55"/>
      <c r="M66" s="61"/>
      <c r="N66" s="66"/>
      <c r="O66" s="1779"/>
    </row>
    <row r="67" spans="1:15" s="69" customFormat="1" ht="12.2" customHeight="1" x14ac:dyDescent="0.2">
      <c r="A67" s="1785"/>
      <c r="B67" s="1783"/>
      <c r="C67" s="1786"/>
      <c r="D67" s="71"/>
      <c r="G67" s="1789"/>
      <c r="H67" s="1783"/>
      <c r="I67" s="1784"/>
      <c r="J67" s="1780"/>
      <c r="K67" s="72"/>
      <c r="L67" s="73"/>
      <c r="O67" s="1779"/>
    </row>
    <row r="68" spans="1:15" s="69" customFormat="1" x14ac:dyDescent="0.2">
      <c r="B68" s="15"/>
      <c r="C68" s="74"/>
      <c r="D68" s="20"/>
      <c r="E68" s="75"/>
      <c r="F68" s="75"/>
      <c r="G68" s="75"/>
      <c r="H68" s="75"/>
      <c r="I68" s="76"/>
      <c r="J68" s="77"/>
      <c r="K68" s="75"/>
      <c r="L68" s="78"/>
      <c r="M68" s="75"/>
      <c r="N68" s="75"/>
      <c r="O68" s="75"/>
    </row>
    <row r="69" spans="1:15" s="69" customFormat="1" x14ac:dyDescent="0.2">
      <c r="B69" s="15"/>
      <c r="C69" s="74"/>
      <c r="D69" s="20"/>
      <c r="E69" s="75"/>
      <c r="F69" s="75"/>
      <c r="G69" s="75"/>
      <c r="H69" s="75"/>
      <c r="I69" s="76"/>
      <c r="J69" s="77"/>
      <c r="K69" s="75"/>
      <c r="L69" s="78"/>
      <c r="M69" s="75"/>
      <c r="N69" s="75"/>
      <c r="O69" s="75"/>
    </row>
    <row r="70" spans="1:15" s="69" customFormat="1" x14ac:dyDescent="0.2">
      <c r="B70" s="15"/>
      <c r="C70" s="74"/>
      <c r="D70" s="20"/>
      <c r="E70" s="75"/>
      <c r="F70" s="75"/>
      <c r="G70" s="75"/>
      <c r="H70" s="75"/>
      <c r="I70" s="76"/>
      <c r="J70" s="77"/>
      <c r="K70" s="75"/>
      <c r="L70" s="78"/>
      <c r="M70" s="75"/>
      <c r="N70" s="75"/>
      <c r="O70" s="75"/>
    </row>
    <row r="71" spans="1:15" s="69" customFormat="1" x14ac:dyDescent="0.2">
      <c r="B71" s="15"/>
      <c r="C71" s="74"/>
      <c r="D71" s="20"/>
      <c r="E71" s="75"/>
      <c r="F71" s="75"/>
      <c r="G71" s="75"/>
      <c r="H71" s="75"/>
      <c r="I71" s="76"/>
      <c r="J71" s="77"/>
      <c r="K71" s="75"/>
      <c r="L71" s="78"/>
      <c r="M71" s="75"/>
      <c r="N71" s="75"/>
      <c r="O71" s="75"/>
    </row>
    <row r="72" spans="1:15" s="69" customFormat="1" x14ac:dyDescent="0.2">
      <c r="B72" s="15"/>
      <c r="C72" s="74"/>
      <c r="D72" s="20"/>
      <c r="E72" s="75"/>
      <c r="F72" s="75"/>
      <c r="G72" s="75"/>
      <c r="H72" s="75"/>
      <c r="I72" s="76"/>
      <c r="J72" s="77"/>
      <c r="K72" s="75"/>
      <c r="L72" s="78"/>
      <c r="M72" s="75"/>
      <c r="N72" s="75"/>
      <c r="O72" s="75"/>
    </row>
    <row r="73" spans="1:15" s="69" customFormat="1" x14ac:dyDescent="0.2">
      <c r="B73" s="15"/>
      <c r="C73" s="74"/>
      <c r="D73" s="20"/>
      <c r="E73" s="75"/>
      <c r="F73" s="75"/>
      <c r="G73" s="75"/>
      <c r="H73" s="75"/>
      <c r="I73" s="76"/>
      <c r="J73" s="77"/>
      <c r="K73" s="75"/>
      <c r="L73" s="78"/>
      <c r="M73" s="75"/>
      <c r="N73" s="75"/>
      <c r="O73" s="75"/>
    </row>
    <row r="74" spans="1:15" s="69" customFormat="1" x14ac:dyDescent="0.2">
      <c r="B74" s="15"/>
      <c r="C74" s="74"/>
      <c r="D74" s="20"/>
      <c r="E74" s="75"/>
      <c r="F74" s="75"/>
      <c r="G74" s="75"/>
      <c r="H74" s="75"/>
      <c r="I74" s="76"/>
      <c r="J74" s="77"/>
      <c r="K74" s="75"/>
      <c r="L74" s="78"/>
      <c r="M74" s="75"/>
      <c r="N74" s="75"/>
      <c r="O74" s="75"/>
    </row>
    <row r="75" spans="1:15" s="69" customFormat="1" x14ac:dyDescent="0.2">
      <c r="B75" s="15"/>
      <c r="C75" s="74"/>
      <c r="D75" s="20"/>
      <c r="E75" s="75"/>
      <c r="F75" s="75"/>
      <c r="G75" s="75"/>
      <c r="H75" s="75"/>
      <c r="I75" s="76"/>
      <c r="J75" s="77"/>
      <c r="K75" s="75"/>
      <c r="L75" s="78"/>
      <c r="M75" s="75"/>
      <c r="N75" s="75"/>
      <c r="O75" s="75"/>
    </row>
    <row r="76" spans="1:15" s="69" customFormat="1" x14ac:dyDescent="0.2">
      <c r="A76" s="79"/>
      <c r="B76" s="80"/>
      <c r="C76" s="81"/>
      <c r="D76" s="20"/>
      <c r="E76" s="75"/>
      <c r="F76" s="75"/>
      <c r="G76" s="75"/>
      <c r="H76" s="75"/>
      <c r="I76" s="76"/>
      <c r="J76" s="77"/>
      <c r="K76" s="75"/>
      <c r="L76" s="78"/>
      <c r="M76" s="75"/>
      <c r="N76" s="75"/>
      <c r="O76" s="75"/>
    </row>
    <row r="77" spans="1:15" s="69" customFormat="1" ht="23.1" customHeight="1" x14ac:dyDescent="0.2">
      <c r="A77" s="55"/>
      <c r="B77" s="58"/>
      <c r="C77" s="57"/>
      <c r="D77" s="58"/>
      <c r="E77" s="60"/>
      <c r="F77" s="60"/>
      <c r="G77" s="60"/>
      <c r="H77" s="60"/>
      <c r="I77" s="62"/>
      <c r="J77" s="63"/>
      <c r="K77" s="60"/>
      <c r="L77" s="55"/>
      <c r="M77" s="60"/>
      <c r="N77" s="60"/>
      <c r="O77" s="63"/>
    </row>
    <row r="78" spans="1:15" s="69" customFormat="1" ht="23.1" customHeight="1" x14ac:dyDescent="0.2">
      <c r="A78" s="55"/>
      <c r="B78" s="58"/>
      <c r="C78" s="57"/>
      <c r="D78" s="58"/>
      <c r="E78" s="60"/>
      <c r="F78" s="60"/>
      <c r="G78" s="60"/>
      <c r="H78" s="60"/>
      <c r="I78" s="62"/>
      <c r="J78" s="63"/>
      <c r="K78" s="60"/>
      <c r="L78" s="55"/>
      <c r="M78" s="60"/>
      <c r="N78" s="60"/>
      <c r="O78" s="63"/>
    </row>
    <row r="79" spans="1:15" s="69" customFormat="1" ht="23.1" customHeight="1" x14ac:dyDescent="0.2">
      <c r="A79" s="55"/>
      <c r="B79" s="58"/>
      <c r="C79" s="57"/>
      <c r="D79" s="58"/>
      <c r="E79" s="60"/>
      <c r="F79" s="60"/>
      <c r="G79" s="60"/>
      <c r="H79" s="60"/>
      <c r="I79" s="62"/>
      <c r="J79" s="63"/>
      <c r="K79" s="60"/>
      <c r="L79" s="55"/>
      <c r="M79" s="60"/>
      <c r="N79" s="60"/>
      <c r="O79" s="63"/>
    </row>
    <row r="80" spans="1:15" s="69" customFormat="1" ht="23.1" customHeight="1" x14ac:dyDescent="0.2">
      <c r="A80" s="55"/>
      <c r="B80" s="58"/>
      <c r="C80" s="57"/>
      <c r="D80" s="58"/>
      <c r="E80" s="60"/>
      <c r="F80" s="60"/>
      <c r="G80" s="60"/>
      <c r="H80" s="60"/>
      <c r="I80" s="62"/>
      <c r="J80" s="63"/>
      <c r="K80" s="60"/>
      <c r="L80" s="55"/>
      <c r="M80" s="60"/>
      <c r="N80" s="60"/>
      <c r="O80" s="63"/>
    </row>
    <row r="81" spans="1:15" s="69" customFormat="1" x14ac:dyDescent="0.2">
      <c r="A81" s="78"/>
      <c r="B81" s="20"/>
      <c r="C81" s="81"/>
      <c r="D81" s="20"/>
      <c r="E81" s="75"/>
      <c r="F81" s="75"/>
      <c r="G81" s="75"/>
      <c r="H81" s="75"/>
      <c r="I81" s="76"/>
      <c r="J81" s="77"/>
      <c r="K81" s="75"/>
      <c r="L81" s="78"/>
      <c r="M81" s="75"/>
      <c r="N81" s="75"/>
      <c r="O81" s="75"/>
    </row>
    <row r="82" spans="1:15" s="69" customFormat="1" x14ac:dyDescent="0.2">
      <c r="A82" s="79"/>
      <c r="B82" s="20"/>
      <c r="C82" s="81"/>
      <c r="D82" s="20"/>
      <c r="E82" s="75"/>
      <c r="F82" s="75"/>
      <c r="G82" s="75"/>
      <c r="H82" s="75"/>
      <c r="I82" s="76"/>
      <c r="J82" s="77"/>
      <c r="K82" s="75"/>
      <c r="L82" s="78"/>
      <c r="M82" s="75"/>
      <c r="N82" s="75"/>
      <c r="O82" s="75"/>
    </row>
    <row r="83" spans="1:15" s="69" customFormat="1" ht="23.1" customHeight="1" x14ac:dyDescent="0.2">
      <c r="A83" s="55"/>
      <c r="B83" s="58"/>
      <c r="C83" s="57"/>
      <c r="D83" s="58"/>
      <c r="E83" s="60"/>
      <c r="F83" s="60"/>
      <c r="G83" s="60"/>
      <c r="H83" s="60"/>
      <c r="I83" s="62"/>
      <c r="J83" s="63"/>
      <c r="K83" s="60"/>
      <c r="L83" s="55"/>
      <c r="M83" s="60"/>
      <c r="N83" s="60"/>
      <c r="O83" s="63"/>
    </row>
    <row r="84" spans="1:15" s="69" customFormat="1" ht="23.1" customHeight="1" x14ac:dyDescent="0.2">
      <c r="A84" s="55"/>
      <c r="B84" s="58"/>
      <c r="C84" s="57"/>
      <c r="D84" s="58"/>
      <c r="E84" s="60"/>
      <c r="F84" s="60"/>
      <c r="G84" s="60"/>
      <c r="H84" s="60"/>
      <c r="I84" s="62"/>
      <c r="J84" s="63"/>
      <c r="K84" s="60"/>
      <c r="L84" s="55"/>
      <c r="M84" s="60"/>
      <c r="N84" s="60"/>
      <c r="O84" s="63"/>
    </row>
    <row r="85" spans="1:15" s="69" customFormat="1" ht="23.1" customHeight="1" x14ac:dyDescent="0.2">
      <c r="A85" s="55"/>
      <c r="B85" s="58"/>
      <c r="C85" s="57"/>
      <c r="D85" s="58"/>
      <c r="E85" s="60"/>
      <c r="F85" s="60"/>
      <c r="G85" s="60"/>
      <c r="H85" s="60"/>
      <c r="I85" s="62"/>
      <c r="J85" s="63"/>
      <c r="K85" s="60"/>
      <c r="L85" s="55"/>
      <c r="M85" s="60"/>
      <c r="N85" s="60"/>
      <c r="O85" s="63"/>
    </row>
    <row r="86" spans="1:15" s="69" customFormat="1" ht="23.1" customHeight="1" x14ac:dyDescent="0.2">
      <c r="A86" s="55"/>
      <c r="B86" s="58"/>
      <c r="C86" s="57"/>
      <c r="D86" s="58"/>
      <c r="E86" s="60"/>
      <c r="F86" s="60"/>
      <c r="G86" s="60"/>
      <c r="H86" s="60"/>
      <c r="I86" s="62"/>
      <c r="J86" s="63"/>
      <c r="K86" s="60"/>
      <c r="L86" s="55"/>
      <c r="M86" s="60"/>
      <c r="N86" s="60"/>
      <c r="O86" s="63"/>
    </row>
    <row r="87" spans="1:15" s="69" customFormat="1" x14ac:dyDescent="0.2">
      <c r="A87" s="78"/>
      <c r="B87" s="80"/>
      <c r="C87" s="81"/>
      <c r="D87" s="20"/>
      <c r="E87" s="75"/>
      <c r="F87" s="75"/>
      <c r="G87" s="75"/>
      <c r="H87" s="75"/>
      <c r="I87" s="76"/>
      <c r="J87" s="77"/>
      <c r="K87" s="75"/>
      <c r="L87" s="78"/>
      <c r="M87" s="75"/>
      <c r="N87" s="75"/>
      <c r="O87" s="75"/>
    </row>
    <row r="88" spans="1:15" s="69" customFormat="1" x14ac:dyDescent="0.2">
      <c r="A88" s="78"/>
      <c r="B88" s="80"/>
      <c r="C88" s="81"/>
      <c r="D88" s="20"/>
      <c r="E88" s="75"/>
      <c r="F88" s="75"/>
      <c r="G88" s="75"/>
      <c r="H88" s="75"/>
      <c r="I88" s="76"/>
      <c r="J88" s="77"/>
      <c r="K88" s="75"/>
      <c r="L88" s="78"/>
      <c r="M88" s="75"/>
      <c r="N88" s="75"/>
      <c r="O88" s="75"/>
    </row>
    <row r="89" spans="1:15" s="69" customFormat="1" x14ac:dyDescent="0.2">
      <c r="I89" s="82"/>
      <c r="L89" s="73"/>
    </row>
    <row r="90" spans="1:15" s="69" customFormat="1" x14ac:dyDescent="0.2">
      <c r="I90" s="82"/>
      <c r="L90" s="73"/>
    </row>
    <row r="91" spans="1:15" s="69" customFormat="1" x14ac:dyDescent="0.2">
      <c r="I91" s="82"/>
      <c r="L91" s="73"/>
    </row>
    <row r="92" spans="1:15" s="69" customFormat="1" x14ac:dyDescent="0.2">
      <c r="I92" s="82"/>
      <c r="L92" s="73"/>
    </row>
    <row r="93" spans="1:15" x14ac:dyDescent="0.2">
      <c r="N93" s="69"/>
    </row>
    <row r="94" spans="1:15" x14ac:dyDescent="0.2">
      <c r="N94" s="69"/>
    </row>
    <row r="95" spans="1:15" x14ac:dyDescent="0.2">
      <c r="N95" s="69"/>
    </row>
    <row r="96" spans="1:15" x14ac:dyDescent="0.2">
      <c r="N96" s="69"/>
    </row>
    <row r="97" spans="14:14" x14ac:dyDescent="0.2">
      <c r="N97" s="69"/>
    </row>
    <row r="98" spans="14:14" x14ac:dyDescent="0.2">
      <c r="N98" s="69"/>
    </row>
    <row r="99" spans="14:14" x14ac:dyDescent="0.2">
      <c r="N99" s="69"/>
    </row>
    <row r="100" spans="14:14" x14ac:dyDescent="0.2">
      <c r="N100" s="69"/>
    </row>
    <row r="101" spans="14:14" x14ac:dyDescent="0.2">
      <c r="N101" s="69"/>
    </row>
    <row r="102" spans="14:14" x14ac:dyDescent="0.2">
      <c r="N102" s="69"/>
    </row>
    <row r="103" spans="14:14" x14ac:dyDescent="0.2">
      <c r="N103" s="69"/>
    </row>
    <row r="104" spans="14:14" x14ac:dyDescent="0.2">
      <c r="N104" s="69"/>
    </row>
    <row r="105" spans="14:14" x14ac:dyDescent="0.2">
      <c r="N105" s="69"/>
    </row>
    <row r="106" spans="14:14" x14ac:dyDescent="0.2">
      <c r="N106" s="69"/>
    </row>
    <row r="107" spans="14:14" x14ac:dyDescent="0.2">
      <c r="N107" s="69"/>
    </row>
    <row r="108" spans="14:14" x14ac:dyDescent="0.2">
      <c r="N108" s="69"/>
    </row>
    <row r="109" spans="14:14" x14ac:dyDescent="0.2">
      <c r="N109" s="69"/>
    </row>
    <row r="110" spans="14:14" x14ac:dyDescent="0.2">
      <c r="N110" s="69"/>
    </row>
  </sheetData>
  <autoFilter ref="A9:O32"/>
  <mergeCells count="55">
    <mergeCell ref="B22:C22"/>
    <mergeCell ref="B23:C23"/>
    <mergeCell ref="B25:C25"/>
    <mergeCell ref="B10:C10"/>
    <mergeCell ref="B13:C13"/>
    <mergeCell ref="B14:C14"/>
    <mergeCell ref="B15:C15"/>
    <mergeCell ref="B18:C18"/>
    <mergeCell ref="B19:C19"/>
    <mergeCell ref="C1:L1"/>
    <mergeCell ref="A7:A8"/>
    <mergeCell ref="B7:C8"/>
    <mergeCell ref="D7:D8"/>
    <mergeCell ref="E7:F7"/>
    <mergeCell ref="G7:J7"/>
    <mergeCell ref="K7:L7"/>
    <mergeCell ref="E27:F27"/>
    <mergeCell ref="M7:N7"/>
    <mergeCell ref="O7:O8"/>
    <mergeCell ref="E8:F8"/>
    <mergeCell ref="G8:H8"/>
    <mergeCell ref="K8:L8"/>
    <mergeCell ref="M8:N8"/>
    <mergeCell ref="B31:C31"/>
    <mergeCell ref="B28:C28"/>
    <mergeCell ref="E15:F15"/>
    <mergeCell ref="B16:C16"/>
    <mergeCell ref="E24:F24"/>
    <mergeCell ref="B26:C26"/>
    <mergeCell ref="E26:F26"/>
    <mergeCell ref="B30:C30"/>
    <mergeCell ref="E30:F30"/>
    <mergeCell ref="B17:C17"/>
    <mergeCell ref="B20:C20"/>
    <mergeCell ref="E20:F20"/>
    <mergeCell ref="B21:C21"/>
    <mergeCell ref="E21:F21"/>
    <mergeCell ref="B24:C24"/>
    <mergeCell ref="B27:C27"/>
    <mergeCell ref="A66:A67"/>
    <mergeCell ref="B66:B67"/>
    <mergeCell ref="C66:C67"/>
    <mergeCell ref="B32:C32"/>
    <mergeCell ref="G66:G67"/>
    <mergeCell ref="A59:A60"/>
    <mergeCell ref="B59:B60"/>
    <mergeCell ref="C59:C60"/>
    <mergeCell ref="O66:O67"/>
    <mergeCell ref="J59:J60"/>
    <mergeCell ref="O59:O60"/>
    <mergeCell ref="E65:I65"/>
    <mergeCell ref="H66:H67"/>
    <mergeCell ref="I66:I67"/>
    <mergeCell ref="J66:J67"/>
    <mergeCell ref="I59:I60"/>
  </mergeCells>
  <phoneticPr fontId="0" type="noConversion"/>
  <pageMargins left="1" right="0.31496062992126" top="0.35433070866141703" bottom="0" header="0.118110236220472" footer="0.31496062992126"/>
  <pageSetup scale="80" orientation="landscape" r:id="rId1"/>
  <headerFooter>
    <oddHeader>&amp;L&amp;G</oddHeader>
    <oddFooter>&amp;LPrinted: &amp;D&amp;C&amp;9Página &amp;P de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6"/>
  <sheetViews>
    <sheetView workbookViewId="0">
      <selection activeCell="E192" sqref="E192"/>
    </sheetView>
  </sheetViews>
  <sheetFormatPr defaultColWidth="11.42578125" defaultRowHeight="12.75" x14ac:dyDescent="0.2"/>
  <cols>
    <col min="2" max="2" width="11.42578125" style="352"/>
    <col min="8" max="13" width="0" hidden="1" customWidth="1"/>
    <col min="16" max="17" width="0" hidden="1" customWidth="1"/>
  </cols>
  <sheetData>
    <row r="1" spans="1:35" ht="19.5" thickBot="1" x14ac:dyDescent="0.35">
      <c r="A1" s="1812" t="s">
        <v>689</v>
      </c>
      <c r="B1" s="1812"/>
      <c r="C1" s="1812"/>
      <c r="D1" s="1812"/>
      <c r="E1" s="1812"/>
      <c r="F1" s="1812"/>
      <c r="G1" s="1812"/>
      <c r="H1" s="1812"/>
      <c r="I1" s="1812"/>
      <c r="J1" s="1812"/>
      <c r="K1" s="1812"/>
      <c r="L1" s="1812"/>
      <c r="M1" s="1812"/>
      <c r="N1" s="1812"/>
      <c r="O1" s="1812"/>
      <c r="P1" s="1812"/>
      <c r="Q1" s="1812"/>
      <c r="R1" s="1812"/>
      <c r="S1" s="1812"/>
    </row>
    <row r="2" spans="1:35" x14ac:dyDescent="0.2">
      <c r="A2" s="345" t="s">
        <v>82</v>
      </c>
      <c r="B2" s="346" t="s">
        <v>690</v>
      </c>
      <c r="C2" s="345" t="s">
        <v>691</v>
      </c>
      <c r="D2" s="345" t="s">
        <v>692</v>
      </c>
      <c r="E2" s="345" t="s">
        <v>693</v>
      </c>
      <c r="F2" s="345" t="s">
        <v>693</v>
      </c>
      <c r="G2" s="345" t="s">
        <v>693</v>
      </c>
      <c r="H2" s="345" t="s">
        <v>694</v>
      </c>
      <c r="I2" s="345" t="s">
        <v>695</v>
      </c>
      <c r="J2" s="345" t="s">
        <v>695</v>
      </c>
      <c r="K2" s="345" t="s">
        <v>696</v>
      </c>
      <c r="L2" s="345" t="s">
        <v>695</v>
      </c>
      <c r="M2" s="345" t="s">
        <v>695</v>
      </c>
      <c r="N2" s="345" t="s">
        <v>697</v>
      </c>
      <c r="O2" s="345" t="s">
        <v>695</v>
      </c>
      <c r="P2" s="345" t="s">
        <v>698</v>
      </c>
      <c r="Q2" s="345" t="s">
        <v>695</v>
      </c>
      <c r="R2" s="345" t="s">
        <v>699</v>
      </c>
      <c r="S2" s="345" t="s">
        <v>700</v>
      </c>
      <c r="T2" s="345" t="s">
        <v>700</v>
      </c>
      <c r="U2" s="345" t="s">
        <v>701</v>
      </c>
      <c r="V2" s="345" t="s">
        <v>702</v>
      </c>
      <c r="W2" s="345" t="s">
        <v>702</v>
      </c>
      <c r="X2" s="347" t="s">
        <v>703</v>
      </c>
      <c r="Y2" s="1813" t="s">
        <v>704</v>
      </c>
      <c r="Z2" s="1814"/>
      <c r="AA2" s="1814"/>
      <c r="AB2" s="1814"/>
      <c r="AC2" s="1814"/>
      <c r="AD2" s="1814"/>
      <c r="AE2" s="1814"/>
      <c r="AF2" s="1814"/>
      <c r="AG2" s="1814"/>
      <c r="AH2" s="1814"/>
      <c r="AI2" s="1815"/>
    </row>
    <row r="3" spans="1:35" ht="13.5" thickBot="1" x14ac:dyDescent="0.25">
      <c r="A3" s="348"/>
      <c r="B3" s="349"/>
      <c r="C3" s="350" t="s">
        <v>705</v>
      </c>
      <c r="D3" s="350" t="s">
        <v>706</v>
      </c>
      <c r="E3" s="350" t="s">
        <v>707</v>
      </c>
      <c r="F3" s="350" t="s">
        <v>708</v>
      </c>
      <c r="G3" s="350" t="s">
        <v>709</v>
      </c>
      <c r="H3" s="350" t="s">
        <v>710</v>
      </c>
      <c r="I3" s="350" t="s">
        <v>711</v>
      </c>
      <c r="J3" s="350" t="s">
        <v>712</v>
      </c>
      <c r="K3" s="350" t="s">
        <v>710</v>
      </c>
      <c r="L3" s="350" t="s">
        <v>713</v>
      </c>
      <c r="M3" s="350" t="s">
        <v>714</v>
      </c>
      <c r="N3" s="350" t="s">
        <v>710</v>
      </c>
      <c r="O3" s="350" t="s">
        <v>697</v>
      </c>
      <c r="P3" s="350" t="s">
        <v>710</v>
      </c>
      <c r="Q3" s="350" t="s">
        <v>698</v>
      </c>
      <c r="R3" s="350" t="s">
        <v>710</v>
      </c>
      <c r="S3" s="350" t="s">
        <v>708</v>
      </c>
      <c r="T3" s="350" t="s">
        <v>709</v>
      </c>
      <c r="U3" s="350" t="s">
        <v>710</v>
      </c>
      <c r="V3" s="350" t="s">
        <v>715</v>
      </c>
      <c r="W3" s="350" t="s">
        <v>716</v>
      </c>
      <c r="X3" s="351" t="s">
        <v>86</v>
      </c>
      <c r="Y3" s="1816" t="s">
        <v>717</v>
      </c>
      <c r="Z3" s="1817"/>
      <c r="AA3" s="1817"/>
      <c r="AB3" s="1817"/>
      <c r="AC3" s="1817"/>
      <c r="AD3" s="1817"/>
      <c r="AE3" s="1817"/>
      <c r="AF3" s="1817"/>
      <c r="AG3" s="1817"/>
      <c r="AH3" s="1817"/>
      <c r="AI3" s="1818"/>
    </row>
    <row r="4" spans="1:35" ht="13.5" thickBot="1" x14ac:dyDescent="0.25">
      <c r="A4" s="1819" t="s">
        <v>718</v>
      </c>
      <c r="B4" s="1820"/>
      <c r="C4" s="1820"/>
      <c r="D4" s="1820"/>
      <c r="E4" s="1820"/>
      <c r="F4" s="1820"/>
      <c r="G4" s="1820"/>
      <c r="H4" s="1820"/>
      <c r="I4" s="1820"/>
      <c r="J4" s="1820"/>
      <c r="K4" s="1820"/>
      <c r="L4" s="1820"/>
      <c r="M4" s="1820"/>
      <c r="N4" s="1820"/>
      <c r="O4" s="1820"/>
      <c r="P4" s="1820"/>
      <c r="Q4" s="1820"/>
      <c r="R4" s="1820"/>
      <c r="S4" s="1820"/>
      <c r="T4" s="1820"/>
      <c r="U4" s="1820"/>
      <c r="V4" s="1820"/>
      <c r="W4" s="1820"/>
      <c r="X4" s="1820"/>
      <c r="Y4" s="1820"/>
      <c r="Z4" s="1820"/>
      <c r="AA4" s="1820"/>
      <c r="AB4" s="1820"/>
      <c r="AC4" s="1820"/>
      <c r="AD4" s="1820"/>
      <c r="AE4" s="1820"/>
      <c r="AF4" s="1820"/>
      <c r="AG4" s="1820"/>
      <c r="AH4" s="1820"/>
      <c r="AI4" s="1821"/>
    </row>
    <row r="6" spans="1:35" x14ac:dyDescent="0.2">
      <c r="A6" s="353">
        <v>40528</v>
      </c>
      <c r="B6" s="354" t="s">
        <v>719</v>
      </c>
      <c r="C6" s="355"/>
      <c r="D6" s="356">
        <v>0</v>
      </c>
      <c r="E6" s="356">
        <v>2053.33</v>
      </c>
      <c r="F6" s="356">
        <v>4765.74</v>
      </c>
      <c r="G6" s="356">
        <v>1926.33</v>
      </c>
      <c r="H6" s="357"/>
      <c r="I6" s="356"/>
      <c r="J6" s="356"/>
      <c r="K6" s="357"/>
      <c r="L6" s="356"/>
      <c r="M6" s="356"/>
      <c r="N6" s="358">
        <v>0</v>
      </c>
      <c r="O6" s="359">
        <v>7888</v>
      </c>
      <c r="P6" s="358"/>
      <c r="Q6" s="359"/>
      <c r="R6" s="358"/>
      <c r="S6" s="359">
        <v>7385</v>
      </c>
      <c r="T6" s="359">
        <v>3744</v>
      </c>
      <c r="U6" s="357"/>
      <c r="V6" s="356"/>
      <c r="W6" s="356"/>
      <c r="X6" s="356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</row>
    <row r="7" spans="1:35" x14ac:dyDescent="0.2">
      <c r="A7" s="353">
        <v>40529</v>
      </c>
      <c r="B7" s="354" t="s">
        <v>720</v>
      </c>
      <c r="C7" s="355"/>
      <c r="D7" s="356">
        <v>0.25</v>
      </c>
      <c r="E7" s="356">
        <f>E6+D7</f>
        <v>2053.58</v>
      </c>
      <c r="F7" s="356">
        <f>F6+D7</f>
        <v>4765.99</v>
      </c>
      <c r="G7" s="356">
        <f>G6+D7</f>
        <v>1926.58</v>
      </c>
      <c r="H7" s="357"/>
      <c r="I7" s="356"/>
      <c r="J7" s="356"/>
      <c r="K7" s="357"/>
      <c r="L7" s="356"/>
      <c r="M7" s="356"/>
      <c r="N7" s="358">
        <v>1</v>
      </c>
      <c r="O7" s="359">
        <f>O6+N7</f>
        <v>7889</v>
      </c>
      <c r="P7" s="358"/>
      <c r="Q7" s="359"/>
      <c r="R7" s="358">
        <v>1</v>
      </c>
      <c r="S7" s="359">
        <f>S6+R7</f>
        <v>7386</v>
      </c>
      <c r="T7" s="359">
        <f>T6+R7</f>
        <v>3745</v>
      </c>
      <c r="U7" s="357"/>
      <c r="V7" s="356"/>
      <c r="W7" s="356"/>
      <c r="X7" s="356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</row>
    <row r="8" spans="1:35" x14ac:dyDescent="0.2">
      <c r="A8" s="353">
        <v>40530</v>
      </c>
      <c r="B8" s="354"/>
      <c r="C8" s="355"/>
      <c r="D8" s="356"/>
      <c r="E8" s="356">
        <f t="shared" ref="E8:E71" si="0">E7+D8</f>
        <v>2053.58</v>
      </c>
      <c r="F8" s="356">
        <f t="shared" ref="F8:F71" si="1">F7+D8</f>
        <v>4765.99</v>
      </c>
      <c r="G8" s="356">
        <f t="shared" ref="G8:G71" si="2">G7+D8</f>
        <v>1926.58</v>
      </c>
      <c r="H8" s="357"/>
      <c r="I8" s="356"/>
      <c r="J8" s="356"/>
      <c r="K8" s="357"/>
      <c r="L8" s="356"/>
      <c r="M8" s="356"/>
      <c r="N8" s="358"/>
      <c r="O8" s="359">
        <f t="shared" ref="O8:O71" si="3">O7+N8</f>
        <v>7889</v>
      </c>
      <c r="P8" s="358"/>
      <c r="Q8" s="359"/>
      <c r="R8" s="358"/>
      <c r="S8" s="359">
        <f t="shared" ref="S8:S71" si="4">S7+R8</f>
        <v>7386</v>
      </c>
      <c r="T8" s="359">
        <f t="shared" ref="T8:T71" si="5">T7+R8</f>
        <v>3745</v>
      </c>
      <c r="U8" s="357"/>
      <c r="V8" s="356"/>
      <c r="W8" s="356"/>
      <c r="X8" s="356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</row>
    <row r="9" spans="1:35" x14ac:dyDescent="0.2">
      <c r="A9" s="353">
        <v>40531</v>
      </c>
      <c r="B9" s="354"/>
      <c r="C9" s="355"/>
      <c r="D9" s="356"/>
      <c r="E9" s="356">
        <f t="shared" si="0"/>
        <v>2053.58</v>
      </c>
      <c r="F9" s="356">
        <f t="shared" si="1"/>
        <v>4765.99</v>
      </c>
      <c r="G9" s="356">
        <f t="shared" si="2"/>
        <v>1926.58</v>
      </c>
      <c r="H9" s="357"/>
      <c r="I9" s="356"/>
      <c r="J9" s="356"/>
      <c r="K9" s="357"/>
      <c r="L9" s="356"/>
      <c r="M9" s="356"/>
      <c r="N9" s="358"/>
      <c r="O9" s="359">
        <f t="shared" si="3"/>
        <v>7889</v>
      </c>
      <c r="P9" s="358"/>
      <c r="Q9" s="359"/>
      <c r="R9" s="358"/>
      <c r="S9" s="359">
        <f t="shared" si="4"/>
        <v>7386</v>
      </c>
      <c r="T9" s="359">
        <f t="shared" si="5"/>
        <v>3745</v>
      </c>
      <c r="U9" s="357"/>
      <c r="V9" s="356"/>
      <c r="W9" s="356"/>
      <c r="X9" s="356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</row>
    <row r="10" spans="1:35" x14ac:dyDescent="0.2">
      <c r="A10" s="353">
        <v>40532</v>
      </c>
      <c r="B10" s="354"/>
      <c r="C10" s="355"/>
      <c r="D10" s="356"/>
      <c r="E10" s="356">
        <f t="shared" si="0"/>
        <v>2053.58</v>
      </c>
      <c r="F10" s="356">
        <f t="shared" si="1"/>
        <v>4765.99</v>
      </c>
      <c r="G10" s="356">
        <f t="shared" si="2"/>
        <v>1926.58</v>
      </c>
      <c r="H10" s="357"/>
      <c r="I10" s="356"/>
      <c r="J10" s="356"/>
      <c r="K10" s="357"/>
      <c r="L10" s="356"/>
      <c r="M10" s="356"/>
      <c r="N10" s="358"/>
      <c r="O10" s="359">
        <f t="shared" si="3"/>
        <v>7889</v>
      </c>
      <c r="P10" s="358"/>
      <c r="Q10" s="359"/>
      <c r="R10" s="358"/>
      <c r="S10" s="359">
        <f t="shared" si="4"/>
        <v>7386</v>
      </c>
      <c r="T10" s="359">
        <f t="shared" si="5"/>
        <v>3745</v>
      </c>
      <c r="U10" s="357"/>
      <c r="V10" s="356"/>
      <c r="W10" s="356"/>
      <c r="X10" s="356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</row>
    <row r="11" spans="1:35" x14ac:dyDescent="0.2">
      <c r="A11" s="353">
        <v>40533</v>
      </c>
      <c r="B11" s="354" t="s">
        <v>833</v>
      </c>
      <c r="C11" s="355"/>
      <c r="D11" s="356">
        <v>0</v>
      </c>
      <c r="E11" s="356">
        <f t="shared" si="0"/>
        <v>2053.58</v>
      </c>
      <c r="F11" s="356">
        <f t="shared" si="1"/>
        <v>4765.99</v>
      </c>
      <c r="G11" s="361">
        <f t="shared" si="2"/>
        <v>1926.58</v>
      </c>
      <c r="H11" s="357"/>
      <c r="I11" s="356"/>
      <c r="J11" s="356"/>
      <c r="K11" s="357"/>
      <c r="L11" s="356"/>
      <c r="M11" s="356"/>
      <c r="N11" s="358">
        <v>0</v>
      </c>
      <c r="O11" s="359">
        <f t="shared" si="3"/>
        <v>7889</v>
      </c>
      <c r="P11" s="358"/>
      <c r="Q11" s="359"/>
      <c r="R11" s="358">
        <v>0</v>
      </c>
      <c r="S11" s="359">
        <f t="shared" si="4"/>
        <v>7386</v>
      </c>
      <c r="T11" s="359">
        <f t="shared" si="5"/>
        <v>3745</v>
      </c>
      <c r="U11" s="357"/>
      <c r="V11" s="356"/>
      <c r="W11" s="356"/>
      <c r="X11" s="356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</row>
    <row r="12" spans="1:35" x14ac:dyDescent="0.2">
      <c r="A12" s="353">
        <v>40534</v>
      </c>
      <c r="B12" s="354"/>
      <c r="C12" s="355"/>
      <c r="D12" s="356"/>
      <c r="E12" s="356">
        <f t="shared" si="0"/>
        <v>2053.58</v>
      </c>
      <c r="F12" s="356">
        <f t="shared" si="1"/>
        <v>4765.99</v>
      </c>
      <c r="G12" s="356">
        <f t="shared" si="2"/>
        <v>1926.58</v>
      </c>
      <c r="H12" s="357"/>
      <c r="I12" s="356"/>
      <c r="J12" s="356"/>
      <c r="K12" s="357"/>
      <c r="L12" s="356"/>
      <c r="M12" s="356"/>
      <c r="N12" s="358"/>
      <c r="O12" s="359">
        <f t="shared" si="3"/>
        <v>7889</v>
      </c>
      <c r="P12" s="358"/>
      <c r="Q12" s="359"/>
      <c r="R12" s="358"/>
      <c r="S12" s="359">
        <f t="shared" si="4"/>
        <v>7386</v>
      </c>
      <c r="T12" s="359">
        <f t="shared" si="5"/>
        <v>3745</v>
      </c>
      <c r="U12" s="357"/>
      <c r="V12" s="356"/>
      <c r="W12" s="356"/>
      <c r="X12" s="356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</row>
    <row r="13" spans="1:35" x14ac:dyDescent="0.2">
      <c r="A13" s="353">
        <v>40535</v>
      </c>
      <c r="B13" s="354"/>
      <c r="C13" s="355"/>
      <c r="D13" s="356"/>
      <c r="E13" s="356">
        <f t="shared" si="0"/>
        <v>2053.58</v>
      </c>
      <c r="F13" s="356">
        <f t="shared" si="1"/>
        <v>4765.99</v>
      </c>
      <c r="G13" s="356">
        <f t="shared" si="2"/>
        <v>1926.58</v>
      </c>
      <c r="H13" s="357"/>
      <c r="I13" s="356"/>
      <c r="J13" s="356"/>
      <c r="K13" s="357"/>
      <c r="L13" s="356"/>
      <c r="M13" s="356"/>
      <c r="N13" s="358"/>
      <c r="O13" s="359">
        <f t="shared" si="3"/>
        <v>7889</v>
      </c>
      <c r="P13" s="358"/>
      <c r="Q13" s="359"/>
      <c r="R13" s="358"/>
      <c r="S13" s="359">
        <f t="shared" si="4"/>
        <v>7386</v>
      </c>
      <c r="T13" s="359">
        <f t="shared" si="5"/>
        <v>3745</v>
      </c>
      <c r="U13" s="357"/>
      <c r="V13" s="356"/>
      <c r="W13" s="356"/>
      <c r="X13" s="356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</row>
    <row r="14" spans="1:35" x14ac:dyDescent="0.2">
      <c r="A14" s="353">
        <v>40536</v>
      </c>
      <c r="B14" s="354"/>
      <c r="C14" s="355"/>
      <c r="D14" s="356"/>
      <c r="E14" s="356">
        <f t="shared" si="0"/>
        <v>2053.58</v>
      </c>
      <c r="F14" s="356">
        <f t="shared" si="1"/>
        <v>4765.99</v>
      </c>
      <c r="G14" s="356">
        <f t="shared" si="2"/>
        <v>1926.58</v>
      </c>
      <c r="H14" s="357"/>
      <c r="I14" s="356"/>
      <c r="J14" s="356"/>
      <c r="K14" s="357"/>
      <c r="L14" s="356"/>
      <c r="M14" s="356"/>
      <c r="N14" s="358"/>
      <c r="O14" s="359">
        <f t="shared" si="3"/>
        <v>7889</v>
      </c>
      <c r="P14" s="358"/>
      <c r="Q14" s="359"/>
      <c r="R14" s="358"/>
      <c r="S14" s="359">
        <f t="shared" si="4"/>
        <v>7386</v>
      </c>
      <c r="T14" s="359">
        <f t="shared" si="5"/>
        <v>3745</v>
      </c>
      <c r="U14" s="357"/>
      <c r="V14" s="356"/>
      <c r="W14" s="356"/>
      <c r="X14" s="356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</row>
    <row r="15" spans="1:35" x14ac:dyDescent="0.2">
      <c r="A15" s="353">
        <v>40537</v>
      </c>
      <c r="B15" s="354"/>
      <c r="C15" s="355"/>
      <c r="D15" s="356"/>
      <c r="E15" s="356">
        <f t="shared" si="0"/>
        <v>2053.58</v>
      </c>
      <c r="F15" s="356">
        <f t="shared" si="1"/>
        <v>4765.99</v>
      </c>
      <c r="G15" s="356">
        <f t="shared" si="2"/>
        <v>1926.58</v>
      </c>
      <c r="H15" s="357"/>
      <c r="I15" s="356"/>
      <c r="J15" s="356"/>
      <c r="K15" s="357"/>
      <c r="L15" s="356"/>
      <c r="M15" s="356"/>
      <c r="N15" s="358"/>
      <c r="O15" s="359">
        <f t="shared" si="3"/>
        <v>7889</v>
      </c>
      <c r="P15" s="358"/>
      <c r="Q15" s="359"/>
      <c r="R15" s="358"/>
      <c r="S15" s="359">
        <f t="shared" si="4"/>
        <v>7386</v>
      </c>
      <c r="T15" s="359">
        <f t="shared" si="5"/>
        <v>3745</v>
      </c>
      <c r="U15" s="357"/>
      <c r="V15" s="356"/>
      <c r="W15" s="356"/>
      <c r="X15" s="356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</row>
    <row r="16" spans="1:35" x14ac:dyDescent="0.2">
      <c r="A16" s="353">
        <v>40538</v>
      </c>
      <c r="B16" s="354"/>
      <c r="C16" s="355"/>
      <c r="D16" s="356"/>
      <c r="E16" s="356">
        <f t="shared" si="0"/>
        <v>2053.58</v>
      </c>
      <c r="F16" s="356">
        <f t="shared" si="1"/>
        <v>4765.99</v>
      </c>
      <c r="G16" s="356">
        <f t="shared" si="2"/>
        <v>1926.58</v>
      </c>
      <c r="H16" s="357"/>
      <c r="I16" s="356"/>
      <c r="J16" s="356"/>
      <c r="K16" s="357"/>
      <c r="L16" s="356"/>
      <c r="M16" s="356"/>
      <c r="N16" s="358"/>
      <c r="O16" s="359">
        <f t="shared" si="3"/>
        <v>7889</v>
      </c>
      <c r="P16" s="358"/>
      <c r="Q16" s="359"/>
      <c r="R16" s="358"/>
      <c r="S16" s="359">
        <f t="shared" si="4"/>
        <v>7386</v>
      </c>
      <c r="T16" s="359">
        <f t="shared" si="5"/>
        <v>3745</v>
      </c>
      <c r="U16" s="357"/>
      <c r="V16" s="356"/>
      <c r="W16" s="356"/>
      <c r="X16" s="356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</row>
    <row r="17" spans="1:35" x14ac:dyDescent="0.2">
      <c r="A17" s="353">
        <v>40539</v>
      </c>
      <c r="B17" s="354"/>
      <c r="C17" s="355"/>
      <c r="D17" s="356"/>
      <c r="E17" s="356">
        <f t="shared" si="0"/>
        <v>2053.58</v>
      </c>
      <c r="F17" s="356">
        <f t="shared" si="1"/>
        <v>4765.99</v>
      </c>
      <c r="G17" s="356">
        <f t="shared" si="2"/>
        <v>1926.58</v>
      </c>
      <c r="H17" s="357"/>
      <c r="I17" s="356"/>
      <c r="J17" s="356"/>
      <c r="K17" s="357"/>
      <c r="L17" s="356"/>
      <c r="M17" s="356"/>
      <c r="N17" s="358"/>
      <c r="O17" s="359">
        <f t="shared" si="3"/>
        <v>7889</v>
      </c>
      <c r="P17" s="358"/>
      <c r="Q17" s="359"/>
      <c r="R17" s="358"/>
      <c r="S17" s="359">
        <f t="shared" si="4"/>
        <v>7386</v>
      </c>
      <c r="T17" s="359">
        <f t="shared" si="5"/>
        <v>3745</v>
      </c>
      <c r="U17" s="357"/>
      <c r="V17" s="356"/>
      <c r="W17" s="356"/>
      <c r="X17" s="356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</row>
    <row r="18" spans="1:35" x14ac:dyDescent="0.2">
      <c r="A18" s="353">
        <v>40540</v>
      </c>
      <c r="B18" s="354"/>
      <c r="C18" s="355"/>
      <c r="D18" s="356"/>
      <c r="E18" s="356">
        <f t="shared" si="0"/>
        <v>2053.58</v>
      </c>
      <c r="F18" s="356">
        <f t="shared" si="1"/>
        <v>4765.99</v>
      </c>
      <c r="G18" s="356">
        <f t="shared" si="2"/>
        <v>1926.58</v>
      </c>
      <c r="H18" s="357"/>
      <c r="I18" s="356"/>
      <c r="J18" s="356"/>
      <c r="K18" s="357"/>
      <c r="L18" s="356"/>
      <c r="M18" s="356"/>
      <c r="N18" s="358"/>
      <c r="O18" s="359">
        <f t="shared" si="3"/>
        <v>7889</v>
      </c>
      <c r="P18" s="358"/>
      <c r="Q18" s="359"/>
      <c r="R18" s="358"/>
      <c r="S18" s="359">
        <f t="shared" si="4"/>
        <v>7386</v>
      </c>
      <c r="T18" s="359">
        <f t="shared" si="5"/>
        <v>3745</v>
      </c>
      <c r="U18" s="357"/>
      <c r="V18" s="356"/>
      <c r="W18" s="356"/>
      <c r="X18" s="356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</row>
    <row r="19" spans="1:35" x14ac:dyDescent="0.2">
      <c r="A19" s="353">
        <v>40541</v>
      </c>
      <c r="B19" s="354"/>
      <c r="C19" s="355"/>
      <c r="D19" s="356"/>
      <c r="E19" s="356">
        <f t="shared" si="0"/>
        <v>2053.58</v>
      </c>
      <c r="F19" s="356">
        <f t="shared" si="1"/>
        <v>4765.99</v>
      </c>
      <c r="G19" s="356">
        <f t="shared" si="2"/>
        <v>1926.58</v>
      </c>
      <c r="H19" s="357"/>
      <c r="I19" s="356"/>
      <c r="J19" s="356"/>
      <c r="K19" s="357"/>
      <c r="L19" s="356"/>
      <c r="M19" s="356"/>
      <c r="N19" s="358"/>
      <c r="O19" s="359">
        <f t="shared" si="3"/>
        <v>7889</v>
      </c>
      <c r="P19" s="358"/>
      <c r="Q19" s="359"/>
      <c r="R19" s="358"/>
      <c r="S19" s="359">
        <f t="shared" si="4"/>
        <v>7386</v>
      </c>
      <c r="T19" s="359">
        <f t="shared" si="5"/>
        <v>3745</v>
      </c>
      <c r="U19" s="357"/>
      <c r="V19" s="356"/>
      <c r="W19" s="356"/>
      <c r="X19" s="356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</row>
    <row r="20" spans="1:35" x14ac:dyDescent="0.2">
      <c r="A20" s="353">
        <v>40542</v>
      </c>
      <c r="B20" s="354"/>
      <c r="C20" s="355"/>
      <c r="D20" s="356"/>
      <c r="E20" s="356">
        <f t="shared" si="0"/>
        <v>2053.58</v>
      </c>
      <c r="F20" s="356">
        <f t="shared" si="1"/>
        <v>4765.99</v>
      </c>
      <c r="G20" s="356">
        <f t="shared" si="2"/>
        <v>1926.58</v>
      </c>
      <c r="H20" s="357"/>
      <c r="I20" s="356"/>
      <c r="J20" s="356"/>
      <c r="K20" s="357"/>
      <c r="L20" s="356"/>
      <c r="M20" s="356"/>
      <c r="N20" s="358"/>
      <c r="O20" s="359">
        <f t="shared" si="3"/>
        <v>7889</v>
      </c>
      <c r="P20" s="358"/>
      <c r="Q20" s="359"/>
      <c r="R20" s="358"/>
      <c r="S20" s="359">
        <f t="shared" si="4"/>
        <v>7386</v>
      </c>
      <c r="T20" s="359">
        <f t="shared" si="5"/>
        <v>3745</v>
      </c>
      <c r="U20" s="357"/>
      <c r="V20" s="356"/>
      <c r="W20" s="356"/>
      <c r="X20" s="356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</row>
    <row r="21" spans="1:35" x14ac:dyDescent="0.2">
      <c r="A21" s="353">
        <v>40543</v>
      </c>
      <c r="B21" s="354"/>
      <c r="C21" s="355"/>
      <c r="D21" s="356"/>
      <c r="E21" s="356">
        <f t="shared" si="0"/>
        <v>2053.58</v>
      </c>
      <c r="F21" s="356">
        <f t="shared" si="1"/>
        <v>4765.99</v>
      </c>
      <c r="G21" s="356">
        <f t="shared" si="2"/>
        <v>1926.58</v>
      </c>
      <c r="H21" s="357"/>
      <c r="I21" s="356"/>
      <c r="J21" s="356"/>
      <c r="K21" s="357"/>
      <c r="L21" s="356"/>
      <c r="M21" s="356"/>
      <c r="N21" s="358"/>
      <c r="O21" s="359">
        <f t="shared" si="3"/>
        <v>7889</v>
      </c>
      <c r="P21" s="358"/>
      <c r="Q21" s="359"/>
      <c r="R21" s="358"/>
      <c r="S21" s="359">
        <f t="shared" si="4"/>
        <v>7386</v>
      </c>
      <c r="T21" s="359">
        <f t="shared" si="5"/>
        <v>3745</v>
      </c>
      <c r="U21" s="357"/>
      <c r="V21" s="356"/>
      <c r="W21" s="356"/>
      <c r="X21" s="356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</row>
    <row r="22" spans="1:35" x14ac:dyDescent="0.2">
      <c r="A22" s="353">
        <v>40544</v>
      </c>
      <c r="B22" s="354"/>
      <c r="C22" s="355"/>
      <c r="D22" s="356"/>
      <c r="E22" s="356">
        <f t="shared" si="0"/>
        <v>2053.58</v>
      </c>
      <c r="F22" s="356">
        <f t="shared" si="1"/>
        <v>4765.99</v>
      </c>
      <c r="G22" s="356">
        <f t="shared" si="2"/>
        <v>1926.58</v>
      </c>
      <c r="H22" s="357"/>
      <c r="I22" s="356"/>
      <c r="J22" s="356"/>
      <c r="K22" s="357"/>
      <c r="L22" s="356"/>
      <c r="M22" s="356"/>
      <c r="N22" s="358"/>
      <c r="O22" s="359">
        <f t="shared" si="3"/>
        <v>7889</v>
      </c>
      <c r="P22" s="358"/>
      <c r="Q22" s="359"/>
      <c r="R22" s="358"/>
      <c r="S22" s="359">
        <f t="shared" si="4"/>
        <v>7386</v>
      </c>
      <c r="T22" s="359">
        <f t="shared" si="5"/>
        <v>3745</v>
      </c>
      <c r="U22" s="357"/>
      <c r="V22" s="356"/>
      <c r="W22" s="356"/>
      <c r="X22" s="356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</row>
    <row r="23" spans="1:35" x14ac:dyDescent="0.2">
      <c r="A23" s="353">
        <v>40545</v>
      </c>
      <c r="B23" s="354"/>
      <c r="C23" s="355"/>
      <c r="D23" s="356"/>
      <c r="E23" s="356">
        <f t="shared" si="0"/>
        <v>2053.58</v>
      </c>
      <c r="F23" s="356">
        <f t="shared" si="1"/>
        <v>4765.99</v>
      </c>
      <c r="G23" s="356">
        <f t="shared" si="2"/>
        <v>1926.58</v>
      </c>
      <c r="H23" s="357"/>
      <c r="I23" s="356"/>
      <c r="J23" s="356"/>
      <c r="K23" s="357"/>
      <c r="L23" s="356"/>
      <c r="M23" s="356"/>
      <c r="N23" s="358"/>
      <c r="O23" s="359">
        <f t="shared" si="3"/>
        <v>7889</v>
      </c>
      <c r="P23" s="358"/>
      <c r="Q23" s="359"/>
      <c r="R23" s="358"/>
      <c r="S23" s="359">
        <f t="shared" si="4"/>
        <v>7386</v>
      </c>
      <c r="T23" s="359">
        <f t="shared" si="5"/>
        <v>3745</v>
      </c>
      <c r="U23" s="357"/>
      <c r="V23" s="356"/>
      <c r="W23" s="356"/>
      <c r="X23" s="356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</row>
    <row r="24" spans="1:35" x14ac:dyDescent="0.2">
      <c r="A24" s="353">
        <v>40546</v>
      </c>
      <c r="B24" s="354"/>
      <c r="C24" s="355"/>
      <c r="D24" s="356"/>
      <c r="E24" s="356">
        <f t="shared" si="0"/>
        <v>2053.58</v>
      </c>
      <c r="F24" s="356">
        <f t="shared" si="1"/>
        <v>4765.99</v>
      </c>
      <c r="G24" s="356">
        <f t="shared" si="2"/>
        <v>1926.58</v>
      </c>
      <c r="H24" s="357"/>
      <c r="I24" s="356"/>
      <c r="J24" s="356"/>
      <c r="K24" s="357"/>
      <c r="L24" s="356"/>
      <c r="M24" s="356"/>
      <c r="N24" s="358"/>
      <c r="O24" s="359">
        <f t="shared" si="3"/>
        <v>7889</v>
      </c>
      <c r="P24" s="358"/>
      <c r="Q24" s="359"/>
      <c r="R24" s="358"/>
      <c r="S24" s="359">
        <f t="shared" si="4"/>
        <v>7386</v>
      </c>
      <c r="T24" s="359">
        <f t="shared" si="5"/>
        <v>3745</v>
      </c>
      <c r="U24" s="357"/>
      <c r="V24" s="356"/>
      <c r="W24" s="356"/>
      <c r="X24" s="356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</row>
    <row r="25" spans="1:35" x14ac:dyDescent="0.2">
      <c r="A25" s="353">
        <v>40547</v>
      </c>
      <c r="B25" s="354"/>
      <c r="C25" s="355"/>
      <c r="D25" s="356"/>
      <c r="E25" s="356">
        <f t="shared" si="0"/>
        <v>2053.58</v>
      </c>
      <c r="F25" s="356">
        <f t="shared" si="1"/>
        <v>4765.99</v>
      </c>
      <c r="G25" s="356">
        <f t="shared" si="2"/>
        <v>1926.58</v>
      </c>
      <c r="H25" s="357"/>
      <c r="I25" s="356"/>
      <c r="J25" s="356"/>
      <c r="K25" s="357"/>
      <c r="L25" s="356"/>
      <c r="M25" s="356"/>
      <c r="N25" s="358"/>
      <c r="O25" s="359">
        <f t="shared" si="3"/>
        <v>7889</v>
      </c>
      <c r="P25" s="358"/>
      <c r="Q25" s="359"/>
      <c r="R25" s="358"/>
      <c r="S25" s="359">
        <f t="shared" si="4"/>
        <v>7386</v>
      </c>
      <c r="T25" s="359">
        <f t="shared" si="5"/>
        <v>3745</v>
      </c>
      <c r="U25" s="357"/>
      <c r="V25" s="356"/>
      <c r="W25" s="356"/>
      <c r="X25" s="356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</row>
    <row r="26" spans="1:35" x14ac:dyDescent="0.2">
      <c r="A26" s="353">
        <v>40548</v>
      </c>
      <c r="B26" s="354"/>
      <c r="C26" s="355"/>
      <c r="D26" s="356"/>
      <c r="E26" s="356">
        <f t="shared" si="0"/>
        <v>2053.58</v>
      </c>
      <c r="F26" s="356">
        <f t="shared" si="1"/>
        <v>4765.99</v>
      </c>
      <c r="G26" s="356">
        <f t="shared" si="2"/>
        <v>1926.58</v>
      </c>
      <c r="H26" s="357"/>
      <c r="I26" s="356"/>
      <c r="J26" s="356"/>
      <c r="K26" s="357"/>
      <c r="L26" s="356"/>
      <c r="M26" s="356"/>
      <c r="N26" s="358"/>
      <c r="O26" s="359">
        <f t="shared" si="3"/>
        <v>7889</v>
      </c>
      <c r="P26" s="358"/>
      <c r="Q26" s="359"/>
      <c r="R26" s="358"/>
      <c r="S26" s="359">
        <f t="shared" si="4"/>
        <v>7386</v>
      </c>
      <c r="T26" s="359">
        <f t="shared" si="5"/>
        <v>3745</v>
      </c>
      <c r="U26" s="357"/>
      <c r="V26" s="356"/>
      <c r="W26" s="356"/>
      <c r="X26" s="356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</row>
    <row r="27" spans="1:35" x14ac:dyDescent="0.2">
      <c r="A27" s="353">
        <v>40549</v>
      </c>
      <c r="B27" s="354"/>
      <c r="C27" s="355"/>
      <c r="D27" s="356"/>
      <c r="E27" s="356">
        <f t="shared" si="0"/>
        <v>2053.58</v>
      </c>
      <c r="F27" s="356">
        <f t="shared" si="1"/>
        <v>4765.99</v>
      </c>
      <c r="G27" s="356">
        <f t="shared" si="2"/>
        <v>1926.58</v>
      </c>
      <c r="H27" s="357"/>
      <c r="I27" s="356"/>
      <c r="J27" s="356"/>
      <c r="K27" s="357"/>
      <c r="L27" s="356"/>
      <c r="M27" s="356"/>
      <c r="N27" s="358"/>
      <c r="O27" s="359">
        <f t="shared" si="3"/>
        <v>7889</v>
      </c>
      <c r="P27" s="358"/>
      <c r="Q27" s="359"/>
      <c r="R27" s="358"/>
      <c r="S27" s="359">
        <f t="shared" si="4"/>
        <v>7386</v>
      </c>
      <c r="T27" s="359">
        <f t="shared" si="5"/>
        <v>3745</v>
      </c>
      <c r="U27" s="357"/>
      <c r="V27" s="356"/>
      <c r="W27" s="356"/>
      <c r="X27" s="356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</row>
    <row r="28" spans="1:35" x14ac:dyDescent="0.2">
      <c r="A28" s="353">
        <v>40550</v>
      </c>
      <c r="B28" s="354"/>
      <c r="C28" s="355"/>
      <c r="D28" s="356"/>
      <c r="E28" s="356">
        <f t="shared" si="0"/>
        <v>2053.58</v>
      </c>
      <c r="F28" s="356">
        <f t="shared" si="1"/>
        <v>4765.99</v>
      </c>
      <c r="G28" s="356">
        <f t="shared" si="2"/>
        <v>1926.58</v>
      </c>
      <c r="H28" s="357"/>
      <c r="I28" s="356"/>
      <c r="J28" s="356"/>
      <c r="K28" s="357"/>
      <c r="L28" s="356"/>
      <c r="M28" s="356"/>
      <c r="N28" s="358"/>
      <c r="O28" s="359">
        <f t="shared" si="3"/>
        <v>7889</v>
      </c>
      <c r="P28" s="358"/>
      <c r="Q28" s="359"/>
      <c r="R28" s="358"/>
      <c r="S28" s="359">
        <f t="shared" si="4"/>
        <v>7386</v>
      </c>
      <c r="T28" s="359">
        <f t="shared" si="5"/>
        <v>3745</v>
      </c>
      <c r="U28" s="357"/>
      <c r="V28" s="356"/>
      <c r="W28" s="356"/>
      <c r="X28" s="356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</row>
    <row r="29" spans="1:35" x14ac:dyDescent="0.2">
      <c r="A29" s="353">
        <v>40551</v>
      </c>
      <c r="B29" s="354"/>
      <c r="C29" s="355"/>
      <c r="D29" s="356"/>
      <c r="E29" s="356">
        <f t="shared" si="0"/>
        <v>2053.58</v>
      </c>
      <c r="F29" s="356">
        <f t="shared" si="1"/>
        <v>4765.99</v>
      </c>
      <c r="G29" s="356">
        <f t="shared" si="2"/>
        <v>1926.58</v>
      </c>
      <c r="H29" s="357"/>
      <c r="I29" s="356"/>
      <c r="J29" s="356"/>
      <c r="K29" s="357"/>
      <c r="L29" s="356"/>
      <c r="M29" s="356"/>
      <c r="N29" s="358"/>
      <c r="O29" s="359">
        <f t="shared" si="3"/>
        <v>7889</v>
      </c>
      <c r="P29" s="358"/>
      <c r="Q29" s="359"/>
      <c r="R29" s="358"/>
      <c r="S29" s="359">
        <f t="shared" si="4"/>
        <v>7386</v>
      </c>
      <c r="T29" s="359">
        <f t="shared" si="5"/>
        <v>3745</v>
      </c>
      <c r="U29" s="357"/>
      <c r="V29" s="356"/>
      <c r="W29" s="356"/>
      <c r="X29" s="356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</row>
    <row r="30" spans="1:35" x14ac:dyDescent="0.2">
      <c r="A30" s="353">
        <v>40552</v>
      </c>
      <c r="B30" s="354"/>
      <c r="C30" s="355"/>
      <c r="D30" s="356"/>
      <c r="E30" s="356">
        <f t="shared" si="0"/>
        <v>2053.58</v>
      </c>
      <c r="F30" s="356">
        <f t="shared" si="1"/>
        <v>4765.99</v>
      </c>
      <c r="G30" s="356">
        <f t="shared" si="2"/>
        <v>1926.58</v>
      </c>
      <c r="H30" s="357"/>
      <c r="I30" s="356"/>
      <c r="J30" s="356"/>
      <c r="K30" s="357"/>
      <c r="L30" s="356"/>
      <c r="M30" s="356"/>
      <c r="N30" s="358"/>
      <c r="O30" s="359">
        <f t="shared" si="3"/>
        <v>7889</v>
      </c>
      <c r="P30" s="358"/>
      <c r="Q30" s="359"/>
      <c r="R30" s="358"/>
      <c r="S30" s="359">
        <f t="shared" si="4"/>
        <v>7386</v>
      </c>
      <c r="T30" s="359">
        <f t="shared" si="5"/>
        <v>3745</v>
      </c>
      <c r="U30" s="357"/>
      <c r="V30" s="356"/>
      <c r="W30" s="356"/>
      <c r="X30" s="356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</row>
    <row r="31" spans="1:35" x14ac:dyDescent="0.2">
      <c r="A31" s="353">
        <v>40553</v>
      </c>
      <c r="B31" s="354"/>
      <c r="C31" s="355"/>
      <c r="D31" s="356"/>
      <c r="E31" s="356">
        <f t="shared" si="0"/>
        <v>2053.58</v>
      </c>
      <c r="F31" s="356">
        <f t="shared" si="1"/>
        <v>4765.99</v>
      </c>
      <c r="G31" s="356">
        <f t="shared" si="2"/>
        <v>1926.58</v>
      </c>
      <c r="H31" s="357"/>
      <c r="I31" s="356"/>
      <c r="J31" s="356"/>
      <c r="K31" s="357"/>
      <c r="L31" s="356"/>
      <c r="M31" s="356"/>
      <c r="N31" s="358"/>
      <c r="O31" s="359">
        <f t="shared" si="3"/>
        <v>7889</v>
      </c>
      <c r="P31" s="358"/>
      <c r="Q31" s="359"/>
      <c r="R31" s="358"/>
      <c r="S31" s="359">
        <f t="shared" si="4"/>
        <v>7386</v>
      </c>
      <c r="T31" s="359">
        <f t="shared" si="5"/>
        <v>3745</v>
      </c>
      <c r="U31" s="357"/>
      <c r="V31" s="356"/>
      <c r="W31" s="356"/>
      <c r="X31" s="356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</row>
    <row r="32" spans="1:35" x14ac:dyDescent="0.2">
      <c r="A32" s="353">
        <v>40554</v>
      </c>
      <c r="B32" s="354"/>
      <c r="C32" s="355"/>
      <c r="D32" s="356"/>
      <c r="E32" s="356">
        <f t="shared" si="0"/>
        <v>2053.58</v>
      </c>
      <c r="F32" s="356">
        <f t="shared" si="1"/>
        <v>4765.99</v>
      </c>
      <c r="G32" s="356">
        <f t="shared" si="2"/>
        <v>1926.58</v>
      </c>
      <c r="H32" s="357"/>
      <c r="I32" s="356"/>
      <c r="J32" s="356"/>
      <c r="K32" s="357"/>
      <c r="L32" s="356"/>
      <c r="M32" s="356"/>
      <c r="N32" s="358"/>
      <c r="O32" s="359">
        <f t="shared" si="3"/>
        <v>7889</v>
      </c>
      <c r="P32" s="358"/>
      <c r="Q32" s="359"/>
      <c r="R32" s="358"/>
      <c r="S32" s="359">
        <f t="shared" si="4"/>
        <v>7386</v>
      </c>
      <c r="T32" s="359">
        <f t="shared" si="5"/>
        <v>3745</v>
      </c>
      <c r="U32" s="357"/>
      <c r="V32" s="356"/>
      <c r="W32" s="356"/>
      <c r="X32" s="356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</row>
    <row r="33" spans="1:35" x14ac:dyDescent="0.2">
      <c r="A33" s="353">
        <v>40555</v>
      </c>
      <c r="B33" s="354"/>
      <c r="C33" s="355"/>
      <c r="D33" s="356"/>
      <c r="E33" s="356">
        <f t="shared" si="0"/>
        <v>2053.58</v>
      </c>
      <c r="F33" s="356">
        <f t="shared" si="1"/>
        <v>4765.99</v>
      </c>
      <c r="G33" s="356">
        <f t="shared" si="2"/>
        <v>1926.58</v>
      </c>
      <c r="H33" s="357"/>
      <c r="I33" s="356"/>
      <c r="J33" s="356"/>
      <c r="K33" s="357"/>
      <c r="L33" s="356"/>
      <c r="M33" s="356"/>
      <c r="N33" s="358"/>
      <c r="O33" s="359">
        <f t="shared" si="3"/>
        <v>7889</v>
      </c>
      <c r="P33" s="358"/>
      <c r="Q33" s="359"/>
      <c r="R33" s="358"/>
      <c r="S33" s="359">
        <f t="shared" si="4"/>
        <v>7386</v>
      </c>
      <c r="T33" s="359">
        <f t="shared" si="5"/>
        <v>3745</v>
      </c>
      <c r="U33" s="357"/>
      <c r="V33" s="356"/>
      <c r="W33" s="356"/>
      <c r="X33" s="356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</row>
    <row r="34" spans="1:35" x14ac:dyDescent="0.2">
      <c r="A34" s="353">
        <v>40556</v>
      </c>
      <c r="B34" s="354"/>
      <c r="C34" s="355"/>
      <c r="D34" s="356"/>
      <c r="E34" s="356">
        <f t="shared" si="0"/>
        <v>2053.58</v>
      </c>
      <c r="F34" s="356">
        <f t="shared" si="1"/>
        <v>4765.99</v>
      </c>
      <c r="G34" s="356">
        <f t="shared" si="2"/>
        <v>1926.58</v>
      </c>
      <c r="H34" s="357"/>
      <c r="I34" s="356"/>
      <c r="J34" s="356"/>
      <c r="K34" s="357"/>
      <c r="L34" s="356"/>
      <c r="M34" s="356"/>
      <c r="N34" s="358"/>
      <c r="O34" s="359">
        <f t="shared" si="3"/>
        <v>7889</v>
      </c>
      <c r="P34" s="358"/>
      <c r="Q34" s="359"/>
      <c r="R34" s="358"/>
      <c r="S34" s="359">
        <f t="shared" si="4"/>
        <v>7386</v>
      </c>
      <c r="T34" s="359">
        <f t="shared" si="5"/>
        <v>3745</v>
      </c>
      <c r="U34" s="357"/>
      <c r="V34" s="356"/>
      <c r="W34" s="356"/>
      <c r="X34" s="356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</row>
    <row r="35" spans="1:35" x14ac:dyDescent="0.2">
      <c r="A35" s="353">
        <v>40557</v>
      </c>
      <c r="B35" s="354"/>
      <c r="C35" s="355"/>
      <c r="D35" s="356"/>
      <c r="E35" s="356">
        <f t="shared" si="0"/>
        <v>2053.58</v>
      </c>
      <c r="F35" s="356">
        <f t="shared" si="1"/>
        <v>4765.99</v>
      </c>
      <c r="G35" s="356">
        <f t="shared" si="2"/>
        <v>1926.58</v>
      </c>
      <c r="H35" s="357"/>
      <c r="I35" s="356"/>
      <c r="J35" s="356"/>
      <c r="K35" s="357"/>
      <c r="L35" s="356"/>
      <c r="M35" s="356"/>
      <c r="N35" s="358"/>
      <c r="O35" s="359">
        <f t="shared" si="3"/>
        <v>7889</v>
      </c>
      <c r="P35" s="358"/>
      <c r="Q35" s="359"/>
      <c r="R35" s="358"/>
      <c r="S35" s="359">
        <f t="shared" si="4"/>
        <v>7386</v>
      </c>
      <c r="T35" s="359">
        <f t="shared" si="5"/>
        <v>3745</v>
      </c>
      <c r="U35" s="357"/>
      <c r="V35" s="356"/>
      <c r="W35" s="356"/>
      <c r="X35" s="356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</row>
    <row r="36" spans="1:35" x14ac:dyDescent="0.2">
      <c r="A36" s="353">
        <v>40558</v>
      </c>
      <c r="B36" s="354"/>
      <c r="C36" s="355"/>
      <c r="D36" s="356"/>
      <c r="E36" s="356">
        <f t="shared" si="0"/>
        <v>2053.58</v>
      </c>
      <c r="F36" s="356">
        <f t="shared" si="1"/>
        <v>4765.99</v>
      </c>
      <c r="G36" s="356">
        <f t="shared" si="2"/>
        <v>1926.58</v>
      </c>
      <c r="H36" s="357"/>
      <c r="I36" s="356"/>
      <c r="J36" s="356"/>
      <c r="K36" s="357"/>
      <c r="L36" s="356"/>
      <c r="M36" s="356"/>
      <c r="N36" s="358"/>
      <c r="O36" s="359">
        <f t="shared" si="3"/>
        <v>7889</v>
      </c>
      <c r="P36" s="358"/>
      <c r="Q36" s="359"/>
      <c r="R36" s="358"/>
      <c r="S36" s="359">
        <f t="shared" si="4"/>
        <v>7386</v>
      </c>
      <c r="T36" s="359">
        <f t="shared" si="5"/>
        <v>3745</v>
      </c>
      <c r="U36" s="357"/>
      <c r="V36" s="356"/>
      <c r="W36" s="356"/>
      <c r="X36" s="356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</row>
    <row r="37" spans="1:35" x14ac:dyDescent="0.2">
      <c r="A37" s="353">
        <v>40559</v>
      </c>
      <c r="B37" s="354"/>
      <c r="C37" s="355"/>
      <c r="D37" s="356"/>
      <c r="E37" s="356">
        <f t="shared" si="0"/>
        <v>2053.58</v>
      </c>
      <c r="F37" s="356">
        <f t="shared" si="1"/>
        <v>4765.99</v>
      </c>
      <c r="G37" s="356">
        <f t="shared" si="2"/>
        <v>1926.58</v>
      </c>
      <c r="H37" s="357"/>
      <c r="I37" s="356"/>
      <c r="J37" s="356"/>
      <c r="K37" s="357"/>
      <c r="L37" s="356"/>
      <c r="M37" s="356"/>
      <c r="N37" s="358"/>
      <c r="O37" s="359">
        <f t="shared" si="3"/>
        <v>7889</v>
      </c>
      <c r="P37" s="358"/>
      <c r="Q37" s="359"/>
      <c r="R37" s="358"/>
      <c r="S37" s="359">
        <f t="shared" si="4"/>
        <v>7386</v>
      </c>
      <c r="T37" s="359">
        <f t="shared" si="5"/>
        <v>3745</v>
      </c>
      <c r="U37" s="357"/>
      <c r="V37" s="356"/>
      <c r="W37" s="356"/>
      <c r="X37" s="356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</row>
    <row r="38" spans="1:35" x14ac:dyDescent="0.2">
      <c r="A38" s="353">
        <v>40560</v>
      </c>
      <c r="B38" s="354"/>
      <c r="C38" s="355"/>
      <c r="D38" s="356"/>
      <c r="E38" s="356">
        <f t="shared" si="0"/>
        <v>2053.58</v>
      </c>
      <c r="F38" s="356">
        <f t="shared" si="1"/>
        <v>4765.99</v>
      </c>
      <c r="G38" s="356">
        <f t="shared" si="2"/>
        <v>1926.58</v>
      </c>
      <c r="H38" s="357"/>
      <c r="I38" s="356"/>
      <c r="J38" s="356"/>
      <c r="K38" s="357"/>
      <c r="L38" s="356"/>
      <c r="M38" s="356"/>
      <c r="N38" s="358"/>
      <c r="O38" s="359">
        <f t="shared" si="3"/>
        <v>7889</v>
      </c>
      <c r="P38" s="358"/>
      <c r="Q38" s="359"/>
      <c r="R38" s="358"/>
      <c r="S38" s="359">
        <f t="shared" si="4"/>
        <v>7386</v>
      </c>
      <c r="T38" s="359">
        <f t="shared" si="5"/>
        <v>3745</v>
      </c>
      <c r="U38" s="357"/>
      <c r="V38" s="356"/>
      <c r="W38" s="356"/>
      <c r="X38" s="356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</row>
    <row r="39" spans="1:35" x14ac:dyDescent="0.2">
      <c r="A39" s="353">
        <v>40561</v>
      </c>
      <c r="B39" s="354"/>
      <c r="C39" s="355"/>
      <c r="D39" s="356"/>
      <c r="E39" s="356">
        <f t="shared" si="0"/>
        <v>2053.58</v>
      </c>
      <c r="F39" s="356">
        <f t="shared" si="1"/>
        <v>4765.99</v>
      </c>
      <c r="G39" s="356">
        <f t="shared" si="2"/>
        <v>1926.58</v>
      </c>
      <c r="H39" s="357"/>
      <c r="I39" s="356"/>
      <c r="J39" s="356"/>
      <c r="K39" s="357"/>
      <c r="L39" s="356"/>
      <c r="M39" s="356"/>
      <c r="N39" s="358"/>
      <c r="O39" s="359">
        <f t="shared" si="3"/>
        <v>7889</v>
      </c>
      <c r="P39" s="358"/>
      <c r="Q39" s="359"/>
      <c r="R39" s="358"/>
      <c r="S39" s="359">
        <f t="shared" si="4"/>
        <v>7386</v>
      </c>
      <c r="T39" s="359">
        <f t="shared" si="5"/>
        <v>3745</v>
      </c>
      <c r="U39" s="357"/>
      <c r="V39" s="356"/>
      <c r="W39" s="356"/>
      <c r="X39" s="356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</row>
    <row r="40" spans="1:35" x14ac:dyDescent="0.2">
      <c r="A40" s="353">
        <v>40562</v>
      </c>
      <c r="B40" s="354"/>
      <c r="C40" s="355"/>
      <c r="D40" s="356"/>
      <c r="E40" s="356">
        <f t="shared" si="0"/>
        <v>2053.58</v>
      </c>
      <c r="F40" s="356">
        <f t="shared" si="1"/>
        <v>4765.99</v>
      </c>
      <c r="G40" s="356">
        <f t="shared" si="2"/>
        <v>1926.58</v>
      </c>
      <c r="H40" s="357"/>
      <c r="I40" s="356"/>
      <c r="J40" s="356"/>
      <c r="K40" s="357"/>
      <c r="L40" s="356"/>
      <c r="M40" s="356"/>
      <c r="N40" s="358"/>
      <c r="O40" s="359">
        <f t="shared" si="3"/>
        <v>7889</v>
      </c>
      <c r="P40" s="358"/>
      <c r="Q40" s="359"/>
      <c r="R40" s="358"/>
      <c r="S40" s="359">
        <f t="shared" si="4"/>
        <v>7386</v>
      </c>
      <c r="T40" s="359">
        <f t="shared" si="5"/>
        <v>3745</v>
      </c>
      <c r="U40" s="357"/>
      <c r="V40" s="356"/>
      <c r="W40" s="356"/>
      <c r="X40" s="356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</row>
    <row r="41" spans="1:35" x14ac:dyDescent="0.2">
      <c r="A41" s="353">
        <v>40563</v>
      </c>
      <c r="B41" s="354"/>
      <c r="C41" s="355"/>
      <c r="D41" s="356"/>
      <c r="E41" s="356">
        <f t="shared" si="0"/>
        <v>2053.58</v>
      </c>
      <c r="F41" s="356">
        <f t="shared" si="1"/>
        <v>4765.99</v>
      </c>
      <c r="G41" s="356">
        <f t="shared" si="2"/>
        <v>1926.58</v>
      </c>
      <c r="H41" s="357"/>
      <c r="I41" s="356"/>
      <c r="J41" s="356"/>
      <c r="K41" s="357"/>
      <c r="L41" s="356"/>
      <c r="M41" s="356"/>
      <c r="N41" s="358"/>
      <c r="O41" s="359">
        <f t="shared" si="3"/>
        <v>7889</v>
      </c>
      <c r="P41" s="358"/>
      <c r="Q41" s="359"/>
      <c r="R41" s="358"/>
      <c r="S41" s="359">
        <f t="shared" si="4"/>
        <v>7386</v>
      </c>
      <c r="T41" s="359">
        <f t="shared" si="5"/>
        <v>3745</v>
      </c>
      <c r="U41" s="357"/>
      <c r="V41" s="356"/>
      <c r="W41" s="356"/>
      <c r="X41" s="356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</row>
    <row r="42" spans="1:35" x14ac:dyDescent="0.2">
      <c r="A42" s="353">
        <v>40564</v>
      </c>
      <c r="B42" s="354" t="s">
        <v>721</v>
      </c>
      <c r="C42" s="355"/>
      <c r="D42" s="356">
        <v>0.9</v>
      </c>
      <c r="E42" s="356">
        <f t="shared" si="0"/>
        <v>2054.48</v>
      </c>
      <c r="F42" s="356">
        <f t="shared" si="1"/>
        <v>4766.8899999999994</v>
      </c>
      <c r="G42" s="356">
        <f t="shared" si="2"/>
        <v>1927.48</v>
      </c>
      <c r="H42" s="357"/>
      <c r="I42" s="356"/>
      <c r="J42" s="356"/>
      <c r="K42" s="357"/>
      <c r="L42" s="356"/>
      <c r="M42" s="356"/>
      <c r="N42" s="358">
        <v>1</v>
      </c>
      <c r="O42" s="359">
        <f t="shared" si="3"/>
        <v>7890</v>
      </c>
      <c r="P42" s="358"/>
      <c r="Q42" s="359"/>
      <c r="R42" s="358">
        <v>1</v>
      </c>
      <c r="S42" s="359">
        <f t="shared" si="4"/>
        <v>7387</v>
      </c>
      <c r="T42" s="359">
        <f t="shared" si="5"/>
        <v>3746</v>
      </c>
      <c r="U42" s="357"/>
      <c r="V42" s="356"/>
      <c r="W42" s="356"/>
      <c r="X42" s="356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</row>
    <row r="43" spans="1:35" x14ac:dyDescent="0.2">
      <c r="A43" s="353">
        <v>40565</v>
      </c>
      <c r="B43" s="354"/>
      <c r="C43" s="355"/>
      <c r="D43" s="356"/>
      <c r="E43" s="356">
        <f t="shared" si="0"/>
        <v>2054.48</v>
      </c>
      <c r="F43" s="356">
        <f t="shared" si="1"/>
        <v>4766.8899999999994</v>
      </c>
      <c r="G43" s="356">
        <f t="shared" si="2"/>
        <v>1927.48</v>
      </c>
      <c r="H43" s="357"/>
      <c r="I43" s="356"/>
      <c r="J43" s="356"/>
      <c r="K43" s="357"/>
      <c r="L43" s="356"/>
      <c r="M43" s="356"/>
      <c r="N43" s="358"/>
      <c r="O43" s="359">
        <f t="shared" si="3"/>
        <v>7890</v>
      </c>
      <c r="P43" s="358"/>
      <c r="Q43" s="359"/>
      <c r="R43" s="358"/>
      <c r="S43" s="359">
        <f t="shared" si="4"/>
        <v>7387</v>
      </c>
      <c r="T43" s="359">
        <f t="shared" si="5"/>
        <v>3746</v>
      </c>
      <c r="U43" s="357"/>
      <c r="V43" s="356"/>
      <c r="W43" s="356"/>
      <c r="X43" s="356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</row>
    <row r="44" spans="1:35" x14ac:dyDescent="0.2">
      <c r="A44" s="353">
        <v>40566</v>
      </c>
      <c r="B44" s="354"/>
      <c r="C44" s="355"/>
      <c r="D44" s="356"/>
      <c r="E44" s="356">
        <f t="shared" si="0"/>
        <v>2054.48</v>
      </c>
      <c r="F44" s="356">
        <f t="shared" si="1"/>
        <v>4766.8899999999994</v>
      </c>
      <c r="G44" s="356">
        <f t="shared" si="2"/>
        <v>1927.48</v>
      </c>
      <c r="H44" s="357"/>
      <c r="I44" s="356"/>
      <c r="J44" s="356"/>
      <c r="K44" s="357"/>
      <c r="L44" s="356"/>
      <c r="M44" s="356"/>
      <c r="N44" s="358"/>
      <c r="O44" s="359">
        <f t="shared" si="3"/>
        <v>7890</v>
      </c>
      <c r="P44" s="358"/>
      <c r="Q44" s="359"/>
      <c r="R44" s="358"/>
      <c r="S44" s="359">
        <f t="shared" si="4"/>
        <v>7387</v>
      </c>
      <c r="T44" s="359">
        <f t="shared" si="5"/>
        <v>3746</v>
      </c>
      <c r="U44" s="357"/>
      <c r="V44" s="356"/>
      <c r="W44" s="356"/>
      <c r="X44" s="356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</row>
    <row r="45" spans="1:35" x14ac:dyDescent="0.2">
      <c r="A45" s="353">
        <v>40567</v>
      </c>
      <c r="B45" s="354"/>
      <c r="C45" s="355"/>
      <c r="D45" s="356"/>
      <c r="E45" s="356">
        <f t="shared" si="0"/>
        <v>2054.48</v>
      </c>
      <c r="F45" s="356">
        <f t="shared" si="1"/>
        <v>4766.8899999999994</v>
      </c>
      <c r="G45" s="356">
        <f t="shared" si="2"/>
        <v>1927.48</v>
      </c>
      <c r="H45" s="357"/>
      <c r="I45" s="356"/>
      <c r="J45" s="356"/>
      <c r="K45" s="357"/>
      <c r="L45" s="356"/>
      <c r="M45" s="356"/>
      <c r="N45" s="358"/>
      <c r="O45" s="359">
        <f t="shared" si="3"/>
        <v>7890</v>
      </c>
      <c r="P45" s="358"/>
      <c r="Q45" s="359"/>
      <c r="R45" s="358"/>
      <c r="S45" s="359">
        <f t="shared" si="4"/>
        <v>7387</v>
      </c>
      <c r="T45" s="359">
        <f t="shared" si="5"/>
        <v>3746</v>
      </c>
      <c r="U45" s="357"/>
      <c r="V45" s="356"/>
      <c r="W45" s="356"/>
      <c r="X45" s="356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</row>
    <row r="46" spans="1:35" x14ac:dyDescent="0.2">
      <c r="A46" s="353">
        <v>40568</v>
      </c>
      <c r="B46" s="354"/>
      <c r="C46" s="355"/>
      <c r="D46" s="356"/>
      <c r="E46" s="356">
        <f t="shared" si="0"/>
        <v>2054.48</v>
      </c>
      <c r="F46" s="356">
        <f t="shared" si="1"/>
        <v>4766.8899999999994</v>
      </c>
      <c r="G46" s="356">
        <f t="shared" si="2"/>
        <v>1927.48</v>
      </c>
      <c r="H46" s="357"/>
      <c r="I46" s="356"/>
      <c r="J46" s="356"/>
      <c r="K46" s="357"/>
      <c r="L46" s="356"/>
      <c r="M46" s="356"/>
      <c r="N46" s="358"/>
      <c r="O46" s="359">
        <f t="shared" si="3"/>
        <v>7890</v>
      </c>
      <c r="P46" s="358"/>
      <c r="Q46" s="359"/>
      <c r="R46" s="358"/>
      <c r="S46" s="359">
        <f t="shared" si="4"/>
        <v>7387</v>
      </c>
      <c r="T46" s="359">
        <f t="shared" si="5"/>
        <v>3746</v>
      </c>
      <c r="U46" s="357"/>
      <c r="V46" s="356"/>
      <c r="W46" s="356"/>
      <c r="X46" s="356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</row>
    <row r="47" spans="1:35" x14ac:dyDescent="0.2">
      <c r="A47" s="353">
        <v>40569</v>
      </c>
      <c r="B47" s="354"/>
      <c r="C47" s="355"/>
      <c r="D47" s="356"/>
      <c r="E47" s="356">
        <f t="shared" si="0"/>
        <v>2054.48</v>
      </c>
      <c r="F47" s="356">
        <f t="shared" si="1"/>
        <v>4766.8899999999994</v>
      </c>
      <c r="G47" s="356">
        <f t="shared" si="2"/>
        <v>1927.48</v>
      </c>
      <c r="H47" s="357"/>
      <c r="I47" s="356"/>
      <c r="J47" s="356"/>
      <c r="K47" s="357"/>
      <c r="L47" s="356"/>
      <c r="M47" s="356"/>
      <c r="N47" s="358"/>
      <c r="O47" s="359">
        <f t="shared" si="3"/>
        <v>7890</v>
      </c>
      <c r="P47" s="358"/>
      <c r="Q47" s="359"/>
      <c r="R47" s="358"/>
      <c r="S47" s="359">
        <f t="shared" si="4"/>
        <v>7387</v>
      </c>
      <c r="T47" s="359">
        <f t="shared" si="5"/>
        <v>3746</v>
      </c>
      <c r="U47" s="357"/>
      <c r="V47" s="356"/>
      <c r="W47" s="356"/>
      <c r="X47" s="356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</row>
    <row r="48" spans="1:35" x14ac:dyDescent="0.2">
      <c r="A48" s="353">
        <v>40570</v>
      </c>
      <c r="B48" s="354"/>
      <c r="C48" s="355"/>
      <c r="D48" s="356"/>
      <c r="E48" s="356">
        <f t="shared" si="0"/>
        <v>2054.48</v>
      </c>
      <c r="F48" s="356">
        <f t="shared" si="1"/>
        <v>4766.8899999999994</v>
      </c>
      <c r="G48" s="356">
        <f t="shared" si="2"/>
        <v>1927.48</v>
      </c>
      <c r="H48" s="357"/>
      <c r="I48" s="356"/>
      <c r="J48" s="356"/>
      <c r="K48" s="357"/>
      <c r="L48" s="356"/>
      <c r="M48" s="356"/>
      <c r="N48" s="358"/>
      <c r="O48" s="359">
        <f t="shared" si="3"/>
        <v>7890</v>
      </c>
      <c r="P48" s="358"/>
      <c r="Q48" s="359"/>
      <c r="R48" s="358"/>
      <c r="S48" s="359">
        <f t="shared" si="4"/>
        <v>7387</v>
      </c>
      <c r="T48" s="359">
        <f t="shared" si="5"/>
        <v>3746</v>
      </c>
      <c r="U48" s="357"/>
      <c r="V48" s="356"/>
      <c r="W48" s="356"/>
      <c r="X48" s="356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</row>
    <row r="49" spans="1:35" x14ac:dyDescent="0.2">
      <c r="A49" s="353">
        <v>40571</v>
      </c>
      <c r="B49" s="354"/>
      <c r="C49" s="355"/>
      <c r="D49" s="356"/>
      <c r="E49" s="356">
        <f t="shared" si="0"/>
        <v>2054.48</v>
      </c>
      <c r="F49" s="356">
        <f t="shared" si="1"/>
        <v>4766.8899999999994</v>
      </c>
      <c r="G49" s="356">
        <f t="shared" si="2"/>
        <v>1927.48</v>
      </c>
      <c r="H49" s="357"/>
      <c r="I49" s="356"/>
      <c r="J49" s="356"/>
      <c r="K49" s="357"/>
      <c r="L49" s="356"/>
      <c r="M49" s="356"/>
      <c r="N49" s="358"/>
      <c r="O49" s="359">
        <f t="shared" si="3"/>
        <v>7890</v>
      </c>
      <c r="P49" s="358"/>
      <c r="Q49" s="359"/>
      <c r="R49" s="358"/>
      <c r="S49" s="359">
        <f t="shared" si="4"/>
        <v>7387</v>
      </c>
      <c r="T49" s="359">
        <f t="shared" si="5"/>
        <v>3746</v>
      </c>
      <c r="U49" s="357"/>
      <c r="V49" s="356"/>
      <c r="W49" s="356"/>
      <c r="X49" s="356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</row>
    <row r="50" spans="1:35" x14ac:dyDescent="0.2">
      <c r="A50" s="353">
        <v>40572</v>
      </c>
      <c r="B50" s="354"/>
      <c r="C50" s="355"/>
      <c r="D50" s="356"/>
      <c r="E50" s="356">
        <f t="shared" si="0"/>
        <v>2054.48</v>
      </c>
      <c r="F50" s="356">
        <f t="shared" si="1"/>
        <v>4766.8899999999994</v>
      </c>
      <c r="G50" s="356">
        <f t="shared" si="2"/>
        <v>1927.48</v>
      </c>
      <c r="H50" s="357"/>
      <c r="I50" s="356"/>
      <c r="J50" s="356"/>
      <c r="K50" s="357"/>
      <c r="L50" s="356"/>
      <c r="M50" s="356"/>
      <c r="N50" s="358"/>
      <c r="O50" s="359">
        <f t="shared" si="3"/>
        <v>7890</v>
      </c>
      <c r="P50" s="358"/>
      <c r="Q50" s="359"/>
      <c r="R50" s="358"/>
      <c r="S50" s="359">
        <f t="shared" si="4"/>
        <v>7387</v>
      </c>
      <c r="T50" s="359">
        <f t="shared" si="5"/>
        <v>3746</v>
      </c>
      <c r="U50" s="357"/>
      <c r="V50" s="356"/>
      <c r="W50" s="356"/>
      <c r="X50" s="356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</row>
    <row r="51" spans="1:35" x14ac:dyDescent="0.2">
      <c r="A51" s="353">
        <v>40573</v>
      </c>
      <c r="B51" s="354"/>
      <c r="C51" s="355"/>
      <c r="D51" s="356"/>
      <c r="E51" s="356">
        <f t="shared" si="0"/>
        <v>2054.48</v>
      </c>
      <c r="F51" s="356">
        <f t="shared" si="1"/>
        <v>4766.8899999999994</v>
      </c>
      <c r="G51" s="356">
        <f t="shared" si="2"/>
        <v>1927.48</v>
      </c>
      <c r="H51" s="357"/>
      <c r="I51" s="356"/>
      <c r="J51" s="356"/>
      <c r="K51" s="357"/>
      <c r="L51" s="356"/>
      <c r="M51" s="356"/>
      <c r="N51" s="358"/>
      <c r="O51" s="359">
        <f t="shared" si="3"/>
        <v>7890</v>
      </c>
      <c r="P51" s="358"/>
      <c r="Q51" s="359"/>
      <c r="R51" s="358"/>
      <c r="S51" s="359">
        <f t="shared" si="4"/>
        <v>7387</v>
      </c>
      <c r="T51" s="359">
        <f t="shared" si="5"/>
        <v>3746</v>
      </c>
      <c r="U51" s="357"/>
      <c r="V51" s="356"/>
      <c r="W51" s="356"/>
      <c r="X51" s="356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</row>
    <row r="52" spans="1:35" x14ac:dyDescent="0.2">
      <c r="A52" s="353">
        <v>40574</v>
      </c>
      <c r="B52" s="354"/>
      <c r="C52" s="355"/>
      <c r="D52" s="356"/>
      <c r="E52" s="356">
        <f t="shared" si="0"/>
        <v>2054.48</v>
      </c>
      <c r="F52" s="356">
        <f t="shared" si="1"/>
        <v>4766.8899999999994</v>
      </c>
      <c r="G52" s="356">
        <f t="shared" si="2"/>
        <v>1927.48</v>
      </c>
      <c r="H52" s="357"/>
      <c r="I52" s="356"/>
      <c r="J52" s="356"/>
      <c r="K52" s="357"/>
      <c r="L52" s="356"/>
      <c r="M52" s="356"/>
      <c r="N52" s="358"/>
      <c r="O52" s="359">
        <f t="shared" si="3"/>
        <v>7890</v>
      </c>
      <c r="P52" s="358"/>
      <c r="Q52" s="359"/>
      <c r="R52" s="358"/>
      <c r="S52" s="359">
        <f t="shared" si="4"/>
        <v>7387</v>
      </c>
      <c r="T52" s="359">
        <f t="shared" si="5"/>
        <v>3746</v>
      </c>
      <c r="U52" s="357"/>
      <c r="V52" s="356"/>
      <c r="W52" s="356"/>
      <c r="X52" s="356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</row>
    <row r="53" spans="1:35" x14ac:dyDescent="0.2">
      <c r="A53" s="353">
        <v>40575</v>
      </c>
      <c r="B53" s="354"/>
      <c r="C53" s="355"/>
      <c r="D53" s="356"/>
      <c r="E53" s="356">
        <f t="shared" si="0"/>
        <v>2054.48</v>
      </c>
      <c r="F53" s="356">
        <f t="shared" si="1"/>
        <v>4766.8899999999994</v>
      </c>
      <c r="G53" s="356">
        <f t="shared" si="2"/>
        <v>1927.48</v>
      </c>
      <c r="H53" s="357"/>
      <c r="I53" s="356"/>
      <c r="J53" s="356"/>
      <c r="K53" s="357"/>
      <c r="L53" s="356"/>
      <c r="M53" s="356"/>
      <c r="N53" s="358"/>
      <c r="O53" s="359">
        <f t="shared" si="3"/>
        <v>7890</v>
      </c>
      <c r="P53" s="358"/>
      <c r="Q53" s="359"/>
      <c r="R53" s="358"/>
      <c r="S53" s="359">
        <f t="shared" si="4"/>
        <v>7387</v>
      </c>
      <c r="T53" s="359">
        <f t="shared" si="5"/>
        <v>3746</v>
      </c>
      <c r="U53" s="357"/>
      <c r="V53" s="356"/>
      <c r="W53" s="356"/>
      <c r="X53" s="356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</row>
    <row r="54" spans="1:35" x14ac:dyDescent="0.2">
      <c r="A54" s="353">
        <v>40576</v>
      </c>
      <c r="B54" s="354"/>
      <c r="C54" s="355"/>
      <c r="D54" s="356"/>
      <c r="E54" s="356">
        <f t="shared" si="0"/>
        <v>2054.48</v>
      </c>
      <c r="F54" s="356">
        <f t="shared" si="1"/>
        <v>4766.8899999999994</v>
      </c>
      <c r="G54" s="356">
        <f t="shared" si="2"/>
        <v>1927.48</v>
      </c>
      <c r="H54" s="357"/>
      <c r="I54" s="356"/>
      <c r="J54" s="356"/>
      <c r="K54" s="357"/>
      <c r="L54" s="356"/>
      <c r="M54" s="356"/>
      <c r="N54" s="358"/>
      <c r="O54" s="359">
        <f t="shared" si="3"/>
        <v>7890</v>
      </c>
      <c r="P54" s="358"/>
      <c r="Q54" s="359"/>
      <c r="R54" s="358"/>
      <c r="S54" s="359">
        <f t="shared" si="4"/>
        <v>7387</v>
      </c>
      <c r="T54" s="359">
        <f t="shared" si="5"/>
        <v>3746</v>
      </c>
      <c r="U54" s="357"/>
      <c r="V54" s="356"/>
      <c r="W54" s="356"/>
      <c r="X54" s="356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</row>
    <row r="55" spans="1:35" x14ac:dyDescent="0.2">
      <c r="A55" s="353">
        <v>40577</v>
      </c>
      <c r="B55" s="354"/>
      <c r="C55" s="355"/>
      <c r="D55" s="356"/>
      <c r="E55" s="356">
        <f t="shared" si="0"/>
        <v>2054.48</v>
      </c>
      <c r="F55" s="356">
        <f t="shared" si="1"/>
        <v>4766.8899999999994</v>
      </c>
      <c r="G55" s="356">
        <f t="shared" si="2"/>
        <v>1927.48</v>
      </c>
      <c r="H55" s="357"/>
      <c r="I55" s="356"/>
      <c r="J55" s="356"/>
      <c r="K55" s="357"/>
      <c r="L55" s="356"/>
      <c r="M55" s="356"/>
      <c r="N55" s="358"/>
      <c r="O55" s="359">
        <f t="shared" si="3"/>
        <v>7890</v>
      </c>
      <c r="P55" s="358"/>
      <c r="Q55" s="359"/>
      <c r="R55" s="358"/>
      <c r="S55" s="359">
        <f t="shared" si="4"/>
        <v>7387</v>
      </c>
      <c r="T55" s="359">
        <f t="shared" si="5"/>
        <v>3746</v>
      </c>
      <c r="U55" s="357"/>
      <c r="V55" s="356"/>
      <c r="W55" s="356"/>
      <c r="X55" s="356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</row>
    <row r="56" spans="1:35" x14ac:dyDescent="0.2">
      <c r="A56" s="353">
        <v>40578</v>
      </c>
      <c r="B56" s="354"/>
      <c r="C56" s="355"/>
      <c r="D56" s="356"/>
      <c r="E56" s="356">
        <f t="shared" si="0"/>
        <v>2054.48</v>
      </c>
      <c r="F56" s="356">
        <f t="shared" si="1"/>
        <v>4766.8899999999994</v>
      </c>
      <c r="G56" s="356">
        <f t="shared" si="2"/>
        <v>1927.48</v>
      </c>
      <c r="H56" s="357"/>
      <c r="I56" s="356"/>
      <c r="J56" s="356"/>
      <c r="K56" s="357"/>
      <c r="L56" s="356"/>
      <c r="M56" s="356"/>
      <c r="N56" s="358"/>
      <c r="O56" s="359">
        <f t="shared" si="3"/>
        <v>7890</v>
      </c>
      <c r="P56" s="358"/>
      <c r="Q56" s="359"/>
      <c r="R56" s="358"/>
      <c r="S56" s="359">
        <f t="shared" si="4"/>
        <v>7387</v>
      </c>
      <c r="T56" s="359">
        <f t="shared" si="5"/>
        <v>3746</v>
      </c>
      <c r="U56" s="357"/>
      <c r="V56" s="356"/>
      <c r="W56" s="356"/>
      <c r="X56" s="356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</row>
    <row r="57" spans="1:35" x14ac:dyDescent="0.2">
      <c r="A57" s="353">
        <v>40579</v>
      </c>
      <c r="B57" s="354"/>
      <c r="C57" s="355"/>
      <c r="D57" s="356"/>
      <c r="E57" s="356">
        <f t="shared" si="0"/>
        <v>2054.48</v>
      </c>
      <c r="F57" s="356">
        <f t="shared" si="1"/>
        <v>4766.8899999999994</v>
      </c>
      <c r="G57" s="356">
        <f t="shared" si="2"/>
        <v>1927.48</v>
      </c>
      <c r="H57" s="357"/>
      <c r="I57" s="356"/>
      <c r="J57" s="356"/>
      <c r="K57" s="357"/>
      <c r="L57" s="356"/>
      <c r="M57" s="356"/>
      <c r="N57" s="358"/>
      <c r="O57" s="359">
        <f t="shared" si="3"/>
        <v>7890</v>
      </c>
      <c r="P57" s="358"/>
      <c r="Q57" s="359"/>
      <c r="R57" s="358"/>
      <c r="S57" s="359">
        <f t="shared" si="4"/>
        <v>7387</v>
      </c>
      <c r="T57" s="359">
        <f t="shared" si="5"/>
        <v>3746</v>
      </c>
      <c r="U57" s="357"/>
      <c r="V57" s="356"/>
      <c r="W57" s="356"/>
      <c r="X57" s="356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</row>
    <row r="58" spans="1:35" x14ac:dyDescent="0.2">
      <c r="A58" s="353">
        <v>40580</v>
      </c>
      <c r="B58" s="354"/>
      <c r="C58" s="355"/>
      <c r="D58" s="356"/>
      <c r="E58" s="356">
        <f t="shared" si="0"/>
        <v>2054.48</v>
      </c>
      <c r="F58" s="356">
        <f t="shared" si="1"/>
        <v>4766.8899999999994</v>
      </c>
      <c r="G58" s="356">
        <f t="shared" si="2"/>
        <v>1927.48</v>
      </c>
      <c r="H58" s="357"/>
      <c r="I58" s="356"/>
      <c r="J58" s="356"/>
      <c r="K58" s="357"/>
      <c r="L58" s="356"/>
      <c r="M58" s="356"/>
      <c r="N58" s="358"/>
      <c r="O58" s="359">
        <f t="shared" si="3"/>
        <v>7890</v>
      </c>
      <c r="P58" s="358"/>
      <c r="Q58" s="359"/>
      <c r="R58" s="358"/>
      <c r="S58" s="359">
        <f t="shared" si="4"/>
        <v>7387</v>
      </c>
      <c r="T58" s="359">
        <f t="shared" si="5"/>
        <v>3746</v>
      </c>
      <c r="U58" s="357"/>
      <c r="V58" s="356"/>
      <c r="W58" s="356"/>
      <c r="X58" s="356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</row>
    <row r="59" spans="1:35" x14ac:dyDescent="0.2">
      <c r="A59" s="353">
        <v>40581</v>
      </c>
      <c r="B59" s="354"/>
      <c r="C59" s="355"/>
      <c r="D59" s="356"/>
      <c r="E59" s="356">
        <f t="shared" si="0"/>
        <v>2054.48</v>
      </c>
      <c r="F59" s="356">
        <f t="shared" si="1"/>
        <v>4766.8899999999994</v>
      </c>
      <c r="G59" s="356">
        <f t="shared" si="2"/>
        <v>1927.48</v>
      </c>
      <c r="H59" s="357"/>
      <c r="I59" s="356"/>
      <c r="J59" s="356"/>
      <c r="K59" s="357"/>
      <c r="L59" s="356"/>
      <c r="M59" s="356"/>
      <c r="N59" s="358"/>
      <c r="O59" s="359">
        <f t="shared" si="3"/>
        <v>7890</v>
      </c>
      <c r="P59" s="358"/>
      <c r="Q59" s="359"/>
      <c r="R59" s="358"/>
      <c r="S59" s="359">
        <f t="shared" si="4"/>
        <v>7387</v>
      </c>
      <c r="T59" s="359">
        <f t="shared" si="5"/>
        <v>3746</v>
      </c>
      <c r="U59" s="357"/>
      <c r="V59" s="356"/>
      <c r="W59" s="356"/>
      <c r="X59" s="356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</row>
    <row r="60" spans="1:35" x14ac:dyDescent="0.2">
      <c r="A60" s="353">
        <v>40582</v>
      </c>
      <c r="B60" s="354"/>
      <c r="C60" s="355"/>
      <c r="D60" s="356"/>
      <c r="E60" s="356">
        <f t="shared" si="0"/>
        <v>2054.48</v>
      </c>
      <c r="F60" s="356">
        <f t="shared" si="1"/>
        <v>4766.8899999999994</v>
      </c>
      <c r="G60" s="356">
        <f t="shared" si="2"/>
        <v>1927.48</v>
      </c>
      <c r="H60" s="357"/>
      <c r="I60" s="356"/>
      <c r="J60" s="356"/>
      <c r="K60" s="357"/>
      <c r="L60" s="356"/>
      <c r="M60" s="356"/>
      <c r="N60" s="358"/>
      <c r="O60" s="359">
        <f t="shared" si="3"/>
        <v>7890</v>
      </c>
      <c r="P60" s="358"/>
      <c r="Q60" s="359"/>
      <c r="R60" s="358"/>
      <c r="S60" s="359">
        <f t="shared" si="4"/>
        <v>7387</v>
      </c>
      <c r="T60" s="359">
        <f t="shared" si="5"/>
        <v>3746</v>
      </c>
      <c r="U60" s="357"/>
      <c r="V60" s="356"/>
      <c r="W60" s="356"/>
      <c r="X60" s="356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</row>
    <row r="61" spans="1:35" x14ac:dyDescent="0.2">
      <c r="A61" s="353">
        <v>40583</v>
      </c>
      <c r="B61" s="354" t="s">
        <v>722</v>
      </c>
      <c r="C61" s="355"/>
      <c r="D61" s="356">
        <v>0.5</v>
      </c>
      <c r="E61" s="356">
        <f t="shared" si="0"/>
        <v>2054.98</v>
      </c>
      <c r="F61" s="356">
        <f t="shared" si="1"/>
        <v>4767.3899999999994</v>
      </c>
      <c r="G61" s="356">
        <f t="shared" si="2"/>
        <v>1927.98</v>
      </c>
      <c r="H61" s="357"/>
      <c r="I61" s="356"/>
      <c r="J61" s="356"/>
      <c r="K61" s="357"/>
      <c r="L61" s="356"/>
      <c r="M61" s="356"/>
      <c r="N61" s="358">
        <v>1</v>
      </c>
      <c r="O61" s="359">
        <f t="shared" si="3"/>
        <v>7891</v>
      </c>
      <c r="P61" s="358"/>
      <c r="Q61" s="359"/>
      <c r="R61" s="358">
        <v>1</v>
      </c>
      <c r="S61" s="359">
        <f t="shared" si="4"/>
        <v>7388</v>
      </c>
      <c r="T61" s="359">
        <f t="shared" si="5"/>
        <v>3747</v>
      </c>
      <c r="U61" s="357"/>
      <c r="V61" s="356"/>
      <c r="W61" s="356"/>
      <c r="X61" s="356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</row>
    <row r="62" spans="1:35" x14ac:dyDescent="0.2">
      <c r="A62" s="353">
        <v>40584</v>
      </c>
      <c r="B62" s="354" t="s">
        <v>723</v>
      </c>
      <c r="C62" s="355"/>
      <c r="D62" s="356">
        <v>3.3</v>
      </c>
      <c r="E62" s="356">
        <f t="shared" si="0"/>
        <v>2058.2800000000002</v>
      </c>
      <c r="F62" s="356">
        <f t="shared" si="1"/>
        <v>4770.6899999999996</v>
      </c>
      <c r="G62" s="356">
        <f t="shared" si="2"/>
        <v>1931.28</v>
      </c>
      <c r="H62" s="357"/>
      <c r="I62" s="356"/>
      <c r="J62" s="356"/>
      <c r="K62" s="357"/>
      <c r="L62" s="356"/>
      <c r="M62" s="356"/>
      <c r="N62" s="358">
        <v>32</v>
      </c>
      <c r="O62" s="359">
        <f t="shared" si="3"/>
        <v>7923</v>
      </c>
      <c r="P62" s="358"/>
      <c r="Q62" s="359"/>
      <c r="R62" s="358">
        <v>2</v>
      </c>
      <c r="S62" s="359">
        <f t="shared" si="4"/>
        <v>7390</v>
      </c>
      <c r="T62" s="359">
        <f t="shared" si="5"/>
        <v>3749</v>
      </c>
      <c r="U62" s="357"/>
      <c r="V62" s="356"/>
      <c r="W62" s="356"/>
      <c r="X62" s="356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</row>
    <row r="63" spans="1:35" x14ac:dyDescent="0.2">
      <c r="A63" s="353">
        <v>40585</v>
      </c>
      <c r="B63" s="354" t="s">
        <v>724</v>
      </c>
      <c r="C63" s="355"/>
      <c r="D63" s="356">
        <v>2</v>
      </c>
      <c r="E63" s="356">
        <f t="shared" si="0"/>
        <v>2060.2800000000002</v>
      </c>
      <c r="F63" s="356">
        <f t="shared" si="1"/>
        <v>4772.6899999999996</v>
      </c>
      <c r="G63" s="356">
        <f t="shared" si="2"/>
        <v>1933.28</v>
      </c>
      <c r="H63" s="357"/>
      <c r="I63" s="356"/>
      <c r="J63" s="356"/>
      <c r="K63" s="357"/>
      <c r="L63" s="356"/>
      <c r="M63" s="356"/>
      <c r="N63" s="358">
        <v>16</v>
      </c>
      <c r="O63" s="359">
        <f t="shared" si="3"/>
        <v>7939</v>
      </c>
      <c r="P63" s="358"/>
      <c r="Q63" s="359"/>
      <c r="R63" s="358">
        <v>1</v>
      </c>
      <c r="S63" s="359">
        <f t="shared" si="4"/>
        <v>7391</v>
      </c>
      <c r="T63" s="359">
        <f t="shared" si="5"/>
        <v>3750</v>
      </c>
      <c r="U63" s="357"/>
      <c r="V63" s="356"/>
      <c r="W63" s="356"/>
      <c r="X63" s="356"/>
      <c r="Y63" s="360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</row>
    <row r="64" spans="1:35" x14ac:dyDescent="0.2">
      <c r="A64" s="353"/>
      <c r="B64" s="354" t="s">
        <v>725</v>
      </c>
      <c r="C64" s="355"/>
      <c r="D64" s="356">
        <v>1.5</v>
      </c>
      <c r="E64" s="356">
        <f t="shared" si="0"/>
        <v>2061.7800000000002</v>
      </c>
      <c r="F64" s="356">
        <f t="shared" si="1"/>
        <v>4774.1899999999996</v>
      </c>
      <c r="G64" s="356">
        <f t="shared" si="2"/>
        <v>1934.78</v>
      </c>
      <c r="H64" s="357"/>
      <c r="I64" s="356"/>
      <c r="J64" s="356"/>
      <c r="K64" s="357"/>
      <c r="L64" s="356"/>
      <c r="M64" s="356"/>
      <c r="N64" s="358">
        <v>16</v>
      </c>
      <c r="O64" s="359">
        <f t="shared" si="3"/>
        <v>7955</v>
      </c>
      <c r="P64" s="358"/>
      <c r="Q64" s="359"/>
      <c r="R64" s="358">
        <v>1</v>
      </c>
      <c r="S64" s="359">
        <f t="shared" si="4"/>
        <v>7392</v>
      </c>
      <c r="T64" s="359">
        <f t="shared" si="5"/>
        <v>3751</v>
      </c>
      <c r="U64" s="357"/>
      <c r="V64" s="356"/>
      <c r="W64" s="356"/>
      <c r="X64" s="356"/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</row>
    <row r="65" spans="1:35" x14ac:dyDescent="0.2">
      <c r="A65" s="353"/>
      <c r="B65" s="354" t="s">
        <v>726</v>
      </c>
      <c r="C65" s="355"/>
      <c r="D65" s="356">
        <v>1.08</v>
      </c>
      <c r="E65" s="356">
        <f t="shared" si="0"/>
        <v>2062.86</v>
      </c>
      <c r="F65" s="356">
        <f t="shared" si="1"/>
        <v>4775.2699999999995</v>
      </c>
      <c r="G65" s="356">
        <f t="shared" si="2"/>
        <v>1935.86</v>
      </c>
      <c r="H65" s="357"/>
      <c r="I65" s="356"/>
      <c r="J65" s="356"/>
      <c r="K65" s="357"/>
      <c r="L65" s="356"/>
      <c r="M65" s="356"/>
      <c r="N65" s="358">
        <v>16</v>
      </c>
      <c r="O65" s="359">
        <f t="shared" si="3"/>
        <v>7971</v>
      </c>
      <c r="P65" s="358"/>
      <c r="Q65" s="359"/>
      <c r="R65" s="358">
        <v>1</v>
      </c>
      <c r="S65" s="359">
        <f t="shared" si="4"/>
        <v>7393</v>
      </c>
      <c r="T65" s="359">
        <f t="shared" si="5"/>
        <v>3752</v>
      </c>
      <c r="U65" s="357"/>
      <c r="V65" s="356"/>
      <c r="W65" s="356"/>
      <c r="X65" s="356"/>
      <c r="Y65" s="360"/>
      <c r="Z65" s="360"/>
      <c r="AA65" s="360"/>
      <c r="AB65" s="360"/>
      <c r="AC65" s="360"/>
      <c r="AD65" s="360"/>
      <c r="AE65" s="360"/>
      <c r="AF65" s="360"/>
      <c r="AG65" s="360"/>
      <c r="AH65" s="360"/>
      <c r="AI65" s="360"/>
    </row>
    <row r="66" spans="1:35" x14ac:dyDescent="0.2">
      <c r="A66" s="353">
        <v>40586</v>
      </c>
      <c r="B66" s="354" t="s">
        <v>727</v>
      </c>
      <c r="C66" s="355"/>
      <c r="D66" s="356">
        <v>1.08</v>
      </c>
      <c r="E66" s="356">
        <f t="shared" si="0"/>
        <v>2063.94</v>
      </c>
      <c r="F66" s="356">
        <f t="shared" si="1"/>
        <v>4776.3499999999995</v>
      </c>
      <c r="G66" s="356">
        <f t="shared" si="2"/>
        <v>1936.9399999999998</v>
      </c>
      <c r="H66" s="357"/>
      <c r="I66" s="356"/>
      <c r="J66" s="356"/>
      <c r="K66" s="357"/>
      <c r="L66" s="356"/>
      <c r="M66" s="356"/>
      <c r="N66" s="358">
        <v>5</v>
      </c>
      <c r="O66" s="359">
        <f t="shared" si="3"/>
        <v>7976</v>
      </c>
      <c r="P66" s="358"/>
      <c r="Q66" s="359"/>
      <c r="R66" s="358">
        <v>1</v>
      </c>
      <c r="S66" s="359">
        <f t="shared" si="4"/>
        <v>7394</v>
      </c>
      <c r="T66" s="359">
        <f t="shared" si="5"/>
        <v>3753</v>
      </c>
      <c r="U66" s="357"/>
      <c r="V66" s="356"/>
      <c r="W66" s="356"/>
      <c r="X66" s="356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</row>
    <row r="67" spans="1:35" x14ac:dyDescent="0.2">
      <c r="A67" s="353"/>
      <c r="B67" s="354" t="s">
        <v>728</v>
      </c>
      <c r="C67" s="355"/>
      <c r="D67" s="356">
        <v>3.25</v>
      </c>
      <c r="E67" s="356">
        <f t="shared" si="0"/>
        <v>2067.19</v>
      </c>
      <c r="F67" s="356">
        <f t="shared" si="1"/>
        <v>4779.5999999999995</v>
      </c>
      <c r="G67" s="356">
        <f t="shared" si="2"/>
        <v>1940.1899999999998</v>
      </c>
      <c r="H67" s="357"/>
      <c r="I67" s="356"/>
      <c r="J67" s="356"/>
      <c r="K67" s="357"/>
      <c r="L67" s="356"/>
      <c r="M67" s="356"/>
      <c r="N67" s="358">
        <v>5</v>
      </c>
      <c r="O67" s="359">
        <f t="shared" si="3"/>
        <v>7981</v>
      </c>
      <c r="P67" s="358"/>
      <c r="Q67" s="359"/>
      <c r="R67" s="358">
        <v>2</v>
      </c>
      <c r="S67" s="359">
        <f t="shared" si="4"/>
        <v>7396</v>
      </c>
      <c r="T67" s="359">
        <f t="shared" si="5"/>
        <v>3755</v>
      </c>
      <c r="U67" s="357"/>
      <c r="V67" s="356"/>
      <c r="W67" s="356"/>
      <c r="X67" s="356"/>
      <c r="Y67" s="360"/>
      <c r="Z67" s="360"/>
      <c r="AA67" s="360"/>
      <c r="AB67" s="360"/>
      <c r="AC67" s="360"/>
      <c r="AD67" s="360"/>
      <c r="AE67" s="360"/>
      <c r="AF67" s="360"/>
      <c r="AG67" s="360"/>
      <c r="AH67" s="360"/>
      <c r="AI67" s="360"/>
    </row>
    <row r="68" spans="1:35" x14ac:dyDescent="0.2">
      <c r="A68" s="353">
        <v>40587</v>
      </c>
      <c r="B68" s="354"/>
      <c r="C68" s="355"/>
      <c r="D68" s="356"/>
      <c r="E68" s="356">
        <f t="shared" si="0"/>
        <v>2067.19</v>
      </c>
      <c r="F68" s="356">
        <f t="shared" si="1"/>
        <v>4779.5999999999995</v>
      </c>
      <c r="G68" s="356">
        <f t="shared" si="2"/>
        <v>1940.1899999999998</v>
      </c>
      <c r="H68" s="357"/>
      <c r="I68" s="356"/>
      <c r="J68" s="356"/>
      <c r="K68" s="357"/>
      <c r="L68" s="356"/>
      <c r="M68" s="356"/>
      <c r="N68" s="358"/>
      <c r="O68" s="359">
        <f t="shared" si="3"/>
        <v>7981</v>
      </c>
      <c r="P68" s="358"/>
      <c r="Q68" s="359"/>
      <c r="R68" s="358"/>
      <c r="S68" s="359">
        <f t="shared" si="4"/>
        <v>7396</v>
      </c>
      <c r="T68" s="359">
        <f t="shared" si="5"/>
        <v>3755</v>
      </c>
      <c r="U68" s="357"/>
      <c r="V68" s="356"/>
      <c r="W68" s="356"/>
      <c r="X68" s="356"/>
      <c r="Y68" s="36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</row>
    <row r="69" spans="1:35" x14ac:dyDescent="0.2">
      <c r="A69" s="353">
        <v>40588</v>
      </c>
      <c r="B69" s="354" t="s">
        <v>729</v>
      </c>
      <c r="C69" s="355"/>
      <c r="D69" s="356">
        <v>1.83</v>
      </c>
      <c r="E69" s="356">
        <f t="shared" si="0"/>
        <v>2069.02</v>
      </c>
      <c r="F69" s="356">
        <f t="shared" si="1"/>
        <v>4781.4299999999994</v>
      </c>
      <c r="G69" s="356">
        <f t="shared" si="2"/>
        <v>1942.0199999999998</v>
      </c>
      <c r="H69" s="357"/>
      <c r="I69" s="356"/>
      <c r="J69" s="356"/>
      <c r="K69" s="357"/>
      <c r="L69" s="356"/>
      <c r="M69" s="356"/>
      <c r="N69" s="437">
        <v>10</v>
      </c>
      <c r="O69" s="438">
        <f t="shared" si="3"/>
        <v>7991</v>
      </c>
      <c r="P69" s="358"/>
      <c r="Q69" s="359"/>
      <c r="R69" s="358">
        <v>4</v>
      </c>
      <c r="S69" s="359">
        <f t="shared" si="4"/>
        <v>7400</v>
      </c>
      <c r="T69" s="359">
        <f t="shared" si="5"/>
        <v>3759</v>
      </c>
      <c r="U69" s="357"/>
      <c r="V69" s="356"/>
      <c r="W69" s="356"/>
      <c r="X69" s="356"/>
      <c r="Y69" s="360"/>
      <c r="Z69" s="360"/>
      <c r="AA69" s="360"/>
      <c r="AB69" s="360"/>
      <c r="AC69" s="360"/>
      <c r="AD69" s="360"/>
      <c r="AE69" s="360"/>
      <c r="AF69" s="360"/>
      <c r="AG69" s="360"/>
      <c r="AH69" s="360"/>
      <c r="AI69" s="360"/>
    </row>
    <row r="70" spans="1:35" x14ac:dyDescent="0.2">
      <c r="A70" s="353">
        <v>40589</v>
      </c>
      <c r="B70" s="354" t="s">
        <v>730</v>
      </c>
      <c r="C70" s="355"/>
      <c r="D70" s="356">
        <v>0.5</v>
      </c>
      <c r="E70" s="356">
        <f t="shared" si="0"/>
        <v>2069.52</v>
      </c>
      <c r="F70" s="356">
        <f t="shared" si="1"/>
        <v>4781.9299999999994</v>
      </c>
      <c r="G70" s="356">
        <f t="shared" si="2"/>
        <v>1942.5199999999998</v>
      </c>
      <c r="H70" s="357"/>
      <c r="I70" s="356"/>
      <c r="J70" s="356"/>
      <c r="K70" s="357"/>
      <c r="L70" s="356"/>
      <c r="M70" s="356"/>
      <c r="N70" s="358">
        <v>2</v>
      </c>
      <c r="O70" s="359">
        <f t="shared" si="3"/>
        <v>7993</v>
      </c>
      <c r="P70" s="358"/>
      <c r="Q70" s="359"/>
      <c r="R70" s="358">
        <v>1</v>
      </c>
      <c r="S70" s="359">
        <f t="shared" si="4"/>
        <v>7401</v>
      </c>
      <c r="T70" s="359">
        <f t="shared" si="5"/>
        <v>3760</v>
      </c>
      <c r="U70" s="357"/>
      <c r="V70" s="356"/>
      <c r="W70" s="356"/>
      <c r="X70" s="356"/>
      <c r="Y70" s="360"/>
      <c r="Z70" s="360"/>
      <c r="AA70" s="360"/>
      <c r="AB70" s="360"/>
      <c r="AC70" s="360"/>
      <c r="AD70" s="360"/>
      <c r="AE70" s="360"/>
      <c r="AF70" s="360"/>
      <c r="AG70" s="360"/>
      <c r="AH70" s="360"/>
      <c r="AI70" s="360"/>
    </row>
    <row r="71" spans="1:35" x14ac:dyDescent="0.2">
      <c r="A71" s="353">
        <v>40590</v>
      </c>
      <c r="B71" s="354" t="s">
        <v>731</v>
      </c>
      <c r="C71" s="355"/>
      <c r="D71" s="356">
        <v>0.3</v>
      </c>
      <c r="E71" s="356">
        <f t="shared" si="0"/>
        <v>2069.8200000000002</v>
      </c>
      <c r="F71" s="356">
        <f t="shared" si="1"/>
        <v>4782.2299999999996</v>
      </c>
      <c r="G71" s="356">
        <f t="shared" si="2"/>
        <v>1942.8199999999997</v>
      </c>
      <c r="H71" s="357"/>
      <c r="I71" s="356"/>
      <c r="J71" s="356"/>
      <c r="K71" s="357"/>
      <c r="L71" s="356"/>
      <c r="M71" s="356"/>
      <c r="N71" s="358">
        <v>1</v>
      </c>
      <c r="O71" s="359">
        <f t="shared" si="3"/>
        <v>7994</v>
      </c>
      <c r="P71" s="358"/>
      <c r="Q71" s="359"/>
      <c r="R71" s="358">
        <v>1</v>
      </c>
      <c r="S71" s="359">
        <f t="shared" si="4"/>
        <v>7402</v>
      </c>
      <c r="T71" s="359">
        <f t="shared" si="5"/>
        <v>3761</v>
      </c>
      <c r="U71" s="357"/>
      <c r="V71" s="356"/>
      <c r="W71" s="356"/>
      <c r="X71" s="356"/>
      <c r="Y71" s="360"/>
      <c r="Z71" s="360"/>
      <c r="AA71" s="360"/>
      <c r="AB71" s="360"/>
      <c r="AC71" s="360"/>
      <c r="AD71" s="360"/>
      <c r="AE71" s="360"/>
      <c r="AF71" s="360"/>
      <c r="AG71" s="360"/>
      <c r="AH71" s="360"/>
      <c r="AI71" s="360"/>
    </row>
    <row r="72" spans="1:35" x14ac:dyDescent="0.2">
      <c r="A72" s="353">
        <v>40591</v>
      </c>
      <c r="B72" s="354"/>
      <c r="C72" s="355"/>
      <c r="D72" s="356"/>
      <c r="E72" s="356">
        <f t="shared" ref="E72:E135" si="6">E71+D72</f>
        <v>2069.8200000000002</v>
      </c>
      <c r="F72" s="356">
        <f t="shared" ref="F72:F138" si="7">F71+D72</f>
        <v>4782.2299999999996</v>
      </c>
      <c r="G72" s="356">
        <f t="shared" ref="G72:G138" si="8">G71+D72</f>
        <v>1942.8199999999997</v>
      </c>
      <c r="H72" s="357"/>
      <c r="I72" s="356"/>
      <c r="J72" s="356"/>
      <c r="K72" s="357"/>
      <c r="L72" s="356"/>
      <c r="M72" s="356"/>
      <c r="N72" s="358"/>
      <c r="O72" s="359">
        <f t="shared" ref="O72:O135" si="9">O71+N72</f>
        <v>7994</v>
      </c>
      <c r="P72" s="358"/>
      <c r="Q72" s="359"/>
      <c r="R72" s="358"/>
      <c r="S72" s="359">
        <f t="shared" ref="S72:S135" si="10">S71+R72</f>
        <v>7402</v>
      </c>
      <c r="T72" s="359">
        <f t="shared" ref="T72:T138" si="11">T71+R72</f>
        <v>3761</v>
      </c>
      <c r="U72" s="357"/>
      <c r="V72" s="356"/>
      <c r="W72" s="356"/>
      <c r="X72" s="356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</row>
    <row r="73" spans="1:35" x14ac:dyDescent="0.2">
      <c r="A73" s="353">
        <v>40592</v>
      </c>
      <c r="B73" s="354"/>
      <c r="C73" s="355"/>
      <c r="D73" s="356"/>
      <c r="E73" s="356">
        <f t="shared" si="6"/>
        <v>2069.8200000000002</v>
      </c>
      <c r="F73" s="356">
        <f t="shared" si="7"/>
        <v>4782.2299999999996</v>
      </c>
      <c r="G73" s="356">
        <f t="shared" si="8"/>
        <v>1942.8199999999997</v>
      </c>
      <c r="H73" s="357"/>
      <c r="I73" s="356"/>
      <c r="J73" s="356"/>
      <c r="K73" s="357"/>
      <c r="L73" s="356"/>
      <c r="M73" s="356"/>
      <c r="N73" s="358"/>
      <c r="O73" s="359">
        <f t="shared" si="9"/>
        <v>7994</v>
      </c>
      <c r="P73" s="358"/>
      <c r="Q73" s="359"/>
      <c r="R73" s="358"/>
      <c r="S73" s="359">
        <f t="shared" si="10"/>
        <v>7402</v>
      </c>
      <c r="T73" s="359">
        <f t="shared" si="11"/>
        <v>3761</v>
      </c>
      <c r="U73" s="357"/>
      <c r="V73" s="356"/>
      <c r="W73" s="356"/>
      <c r="X73" s="356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0"/>
    </row>
    <row r="74" spans="1:35" x14ac:dyDescent="0.2">
      <c r="A74" s="353">
        <v>40593</v>
      </c>
      <c r="B74" s="354"/>
      <c r="C74" s="355"/>
      <c r="D74" s="356"/>
      <c r="E74" s="356">
        <f t="shared" si="6"/>
        <v>2069.8200000000002</v>
      </c>
      <c r="F74" s="356">
        <f t="shared" si="7"/>
        <v>4782.2299999999996</v>
      </c>
      <c r="G74" s="356">
        <f t="shared" si="8"/>
        <v>1942.8199999999997</v>
      </c>
      <c r="H74" s="357"/>
      <c r="I74" s="356"/>
      <c r="J74" s="356"/>
      <c r="K74" s="357"/>
      <c r="L74" s="356"/>
      <c r="M74" s="356"/>
      <c r="N74" s="358"/>
      <c r="O74" s="359">
        <f t="shared" si="9"/>
        <v>7994</v>
      </c>
      <c r="P74" s="358"/>
      <c r="Q74" s="359"/>
      <c r="R74" s="358"/>
      <c r="S74" s="359">
        <f t="shared" si="10"/>
        <v>7402</v>
      </c>
      <c r="T74" s="359">
        <f t="shared" si="11"/>
        <v>3761</v>
      </c>
      <c r="U74" s="357"/>
      <c r="V74" s="356"/>
      <c r="W74" s="356"/>
      <c r="X74" s="356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</row>
    <row r="75" spans="1:35" x14ac:dyDescent="0.2">
      <c r="A75" s="353">
        <v>40594</v>
      </c>
      <c r="B75" s="354"/>
      <c r="C75" s="355"/>
      <c r="D75" s="356"/>
      <c r="E75" s="356">
        <f t="shared" si="6"/>
        <v>2069.8200000000002</v>
      </c>
      <c r="F75" s="356">
        <f t="shared" si="7"/>
        <v>4782.2299999999996</v>
      </c>
      <c r="G75" s="356">
        <f t="shared" si="8"/>
        <v>1942.8199999999997</v>
      </c>
      <c r="H75" s="357"/>
      <c r="I75" s="356"/>
      <c r="J75" s="356"/>
      <c r="K75" s="357"/>
      <c r="L75" s="356"/>
      <c r="M75" s="356"/>
      <c r="N75" s="358"/>
      <c r="O75" s="359">
        <f t="shared" si="9"/>
        <v>7994</v>
      </c>
      <c r="P75" s="358"/>
      <c r="Q75" s="359"/>
      <c r="R75" s="358"/>
      <c r="S75" s="359">
        <f t="shared" si="10"/>
        <v>7402</v>
      </c>
      <c r="T75" s="359">
        <f t="shared" si="11"/>
        <v>3761</v>
      </c>
      <c r="U75" s="357"/>
      <c r="V75" s="356"/>
      <c r="W75" s="356"/>
      <c r="X75" s="356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</row>
    <row r="76" spans="1:35" x14ac:dyDescent="0.2">
      <c r="A76" s="353">
        <v>40595</v>
      </c>
      <c r="B76" s="354"/>
      <c r="C76" s="355"/>
      <c r="D76" s="356"/>
      <c r="E76" s="356">
        <f t="shared" si="6"/>
        <v>2069.8200000000002</v>
      </c>
      <c r="F76" s="356">
        <f t="shared" si="7"/>
        <v>4782.2299999999996</v>
      </c>
      <c r="G76" s="356">
        <f t="shared" si="8"/>
        <v>1942.8199999999997</v>
      </c>
      <c r="H76" s="357"/>
      <c r="I76" s="356"/>
      <c r="J76" s="356"/>
      <c r="K76" s="357"/>
      <c r="L76" s="356"/>
      <c r="M76" s="356"/>
      <c r="N76" s="358"/>
      <c r="O76" s="359">
        <f t="shared" si="9"/>
        <v>7994</v>
      </c>
      <c r="P76" s="358"/>
      <c r="Q76" s="359"/>
      <c r="R76" s="358"/>
      <c r="S76" s="359">
        <f t="shared" si="10"/>
        <v>7402</v>
      </c>
      <c r="T76" s="359">
        <f t="shared" si="11"/>
        <v>3761</v>
      </c>
      <c r="U76" s="357"/>
      <c r="V76" s="356"/>
      <c r="W76" s="356"/>
      <c r="X76" s="356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</row>
    <row r="77" spans="1:35" x14ac:dyDescent="0.2">
      <c r="A77" s="353">
        <v>40596</v>
      </c>
      <c r="B77" s="354"/>
      <c r="C77" s="355"/>
      <c r="D77" s="356"/>
      <c r="E77" s="356">
        <f t="shared" si="6"/>
        <v>2069.8200000000002</v>
      </c>
      <c r="F77" s="356">
        <f t="shared" si="7"/>
        <v>4782.2299999999996</v>
      </c>
      <c r="G77" s="356">
        <f t="shared" si="8"/>
        <v>1942.8199999999997</v>
      </c>
      <c r="H77" s="357"/>
      <c r="I77" s="356"/>
      <c r="J77" s="356"/>
      <c r="K77" s="357"/>
      <c r="L77" s="356"/>
      <c r="M77" s="356"/>
      <c r="N77" s="358"/>
      <c r="O77" s="359">
        <f t="shared" si="9"/>
        <v>7994</v>
      </c>
      <c r="P77" s="358"/>
      <c r="Q77" s="359"/>
      <c r="R77" s="358"/>
      <c r="S77" s="359">
        <f t="shared" si="10"/>
        <v>7402</v>
      </c>
      <c r="T77" s="359">
        <f t="shared" si="11"/>
        <v>3761</v>
      </c>
      <c r="U77" s="357"/>
      <c r="V77" s="356"/>
      <c r="W77" s="356"/>
      <c r="X77" s="356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</row>
    <row r="78" spans="1:35" x14ac:dyDescent="0.2">
      <c r="A78" s="353">
        <v>40597</v>
      </c>
      <c r="B78" s="354"/>
      <c r="C78" s="355"/>
      <c r="D78" s="356"/>
      <c r="E78" s="356">
        <f t="shared" si="6"/>
        <v>2069.8200000000002</v>
      </c>
      <c r="F78" s="356">
        <f t="shared" si="7"/>
        <v>4782.2299999999996</v>
      </c>
      <c r="G78" s="356">
        <f t="shared" si="8"/>
        <v>1942.8199999999997</v>
      </c>
      <c r="H78" s="357"/>
      <c r="I78" s="356"/>
      <c r="J78" s="356"/>
      <c r="K78" s="357"/>
      <c r="L78" s="356"/>
      <c r="M78" s="356"/>
      <c r="N78" s="358"/>
      <c r="O78" s="359">
        <f t="shared" si="9"/>
        <v>7994</v>
      </c>
      <c r="P78" s="358"/>
      <c r="Q78" s="359"/>
      <c r="R78" s="358"/>
      <c r="S78" s="359">
        <f t="shared" si="10"/>
        <v>7402</v>
      </c>
      <c r="T78" s="359">
        <f t="shared" si="11"/>
        <v>3761</v>
      </c>
      <c r="U78" s="357"/>
      <c r="V78" s="356"/>
      <c r="W78" s="356"/>
      <c r="X78" s="356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</row>
    <row r="79" spans="1:35" x14ac:dyDescent="0.2">
      <c r="A79" s="353">
        <v>40598</v>
      </c>
      <c r="B79" s="354" t="s">
        <v>732</v>
      </c>
      <c r="C79" s="355"/>
      <c r="D79" s="356">
        <v>0.3</v>
      </c>
      <c r="E79" s="356">
        <f t="shared" si="6"/>
        <v>2070.1200000000003</v>
      </c>
      <c r="F79" s="356">
        <f t="shared" si="7"/>
        <v>4782.53</v>
      </c>
      <c r="G79" s="356">
        <f t="shared" si="8"/>
        <v>1943.1199999999997</v>
      </c>
      <c r="H79" s="357"/>
      <c r="I79" s="356"/>
      <c r="J79" s="356"/>
      <c r="K79" s="357"/>
      <c r="L79" s="356"/>
      <c r="M79" s="356"/>
      <c r="N79" s="358">
        <v>1</v>
      </c>
      <c r="O79" s="359">
        <f t="shared" si="9"/>
        <v>7995</v>
      </c>
      <c r="P79" s="358"/>
      <c r="Q79" s="359"/>
      <c r="R79" s="358">
        <v>1</v>
      </c>
      <c r="S79" s="359">
        <f t="shared" si="10"/>
        <v>7403</v>
      </c>
      <c r="T79" s="359">
        <f t="shared" si="11"/>
        <v>3762</v>
      </c>
      <c r="U79" s="357"/>
      <c r="V79" s="356"/>
      <c r="W79" s="356"/>
      <c r="X79" s="356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</row>
    <row r="80" spans="1:35" x14ac:dyDescent="0.2">
      <c r="A80" s="353">
        <v>40599</v>
      </c>
      <c r="B80" s="354" t="s">
        <v>733</v>
      </c>
      <c r="C80" s="355"/>
      <c r="D80" s="356">
        <v>5.0999999999999996</v>
      </c>
      <c r="E80" s="356">
        <f t="shared" si="6"/>
        <v>2075.2200000000003</v>
      </c>
      <c r="F80" s="356">
        <f t="shared" si="7"/>
        <v>4787.63</v>
      </c>
      <c r="G80" s="356">
        <f t="shared" si="8"/>
        <v>1948.2199999999996</v>
      </c>
      <c r="H80" s="357"/>
      <c r="I80" s="356"/>
      <c r="J80" s="356"/>
      <c r="K80" s="357"/>
      <c r="L80" s="356"/>
      <c r="M80" s="356"/>
      <c r="N80" s="358">
        <v>3</v>
      </c>
      <c r="O80" s="359">
        <f t="shared" si="9"/>
        <v>7998</v>
      </c>
      <c r="P80" s="358"/>
      <c r="Q80" s="359"/>
      <c r="R80" s="358">
        <v>4</v>
      </c>
      <c r="S80" s="359">
        <f t="shared" si="10"/>
        <v>7407</v>
      </c>
      <c r="T80" s="359">
        <f t="shared" si="11"/>
        <v>3766</v>
      </c>
      <c r="U80" s="357"/>
      <c r="V80" s="356"/>
      <c r="W80" s="356"/>
      <c r="X80" s="356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</row>
    <row r="81" spans="1:35" x14ac:dyDescent="0.2">
      <c r="A81" s="353">
        <v>40600</v>
      </c>
      <c r="B81" s="354" t="s">
        <v>734</v>
      </c>
      <c r="C81" s="355"/>
      <c r="D81" s="356">
        <v>2.5</v>
      </c>
      <c r="E81" s="356">
        <f t="shared" si="6"/>
        <v>2077.7200000000003</v>
      </c>
      <c r="F81" s="356">
        <f t="shared" si="7"/>
        <v>4790.13</v>
      </c>
      <c r="G81" s="356">
        <f t="shared" si="8"/>
        <v>1950.7199999999996</v>
      </c>
      <c r="H81" s="357"/>
      <c r="I81" s="356"/>
      <c r="J81" s="356"/>
      <c r="K81" s="357"/>
      <c r="L81" s="356"/>
      <c r="M81" s="356"/>
      <c r="N81" s="358">
        <v>2</v>
      </c>
      <c r="O81" s="359">
        <f t="shared" si="9"/>
        <v>8000</v>
      </c>
      <c r="P81" s="358"/>
      <c r="Q81" s="359"/>
      <c r="R81" s="358">
        <v>2</v>
      </c>
      <c r="S81" s="359">
        <f t="shared" si="10"/>
        <v>7409</v>
      </c>
      <c r="T81" s="359">
        <f t="shared" si="11"/>
        <v>3768</v>
      </c>
      <c r="U81" s="357"/>
      <c r="V81" s="356"/>
      <c r="W81" s="356"/>
      <c r="X81" s="356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</row>
    <row r="82" spans="1:35" x14ac:dyDescent="0.2">
      <c r="A82" s="353">
        <v>40601</v>
      </c>
      <c r="B82" s="354"/>
      <c r="C82" s="355"/>
      <c r="D82" s="356"/>
      <c r="E82" s="356">
        <f t="shared" si="6"/>
        <v>2077.7200000000003</v>
      </c>
      <c r="F82" s="356">
        <f t="shared" si="7"/>
        <v>4790.13</v>
      </c>
      <c r="G82" s="356">
        <f t="shared" si="8"/>
        <v>1950.7199999999996</v>
      </c>
      <c r="H82" s="357"/>
      <c r="I82" s="356"/>
      <c r="J82" s="356"/>
      <c r="K82" s="357"/>
      <c r="L82" s="356"/>
      <c r="M82" s="356"/>
      <c r="N82" s="358"/>
      <c r="O82" s="359">
        <f t="shared" si="9"/>
        <v>8000</v>
      </c>
      <c r="P82" s="358"/>
      <c r="Q82" s="359"/>
      <c r="R82" s="358"/>
      <c r="S82" s="359">
        <f t="shared" si="10"/>
        <v>7409</v>
      </c>
      <c r="T82" s="359">
        <f t="shared" si="11"/>
        <v>3768</v>
      </c>
      <c r="U82" s="357"/>
      <c r="V82" s="356"/>
      <c r="W82" s="356"/>
      <c r="X82" s="356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/>
    </row>
    <row r="83" spans="1:35" x14ac:dyDescent="0.2">
      <c r="A83" s="353">
        <v>40602</v>
      </c>
      <c r="B83" s="354"/>
      <c r="C83" s="355"/>
      <c r="D83" s="356"/>
      <c r="E83" s="356">
        <f t="shared" si="6"/>
        <v>2077.7200000000003</v>
      </c>
      <c r="F83" s="356">
        <f t="shared" si="7"/>
        <v>4790.13</v>
      </c>
      <c r="G83" s="356">
        <f t="shared" si="8"/>
        <v>1950.7199999999996</v>
      </c>
      <c r="H83" s="357"/>
      <c r="I83" s="356"/>
      <c r="J83" s="356"/>
      <c r="K83" s="357"/>
      <c r="L83" s="356"/>
      <c r="M83" s="356"/>
      <c r="N83" s="358"/>
      <c r="O83" s="359">
        <f t="shared" si="9"/>
        <v>8000</v>
      </c>
      <c r="P83" s="358"/>
      <c r="Q83" s="359"/>
      <c r="R83" s="358"/>
      <c r="S83" s="359">
        <f t="shared" si="10"/>
        <v>7409</v>
      </c>
      <c r="T83" s="359">
        <f t="shared" si="11"/>
        <v>3768</v>
      </c>
      <c r="U83" s="357"/>
      <c r="V83" s="356"/>
      <c r="W83" s="356"/>
      <c r="X83" s="356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</row>
    <row r="84" spans="1:35" x14ac:dyDescent="0.2">
      <c r="A84" s="353">
        <v>40603</v>
      </c>
      <c r="B84" s="354" t="s">
        <v>735</v>
      </c>
      <c r="C84" s="355"/>
      <c r="D84" s="356">
        <v>2.5</v>
      </c>
      <c r="E84" s="356">
        <f t="shared" si="6"/>
        <v>2080.2200000000003</v>
      </c>
      <c r="F84" s="356">
        <f t="shared" si="7"/>
        <v>4792.63</v>
      </c>
      <c r="G84" s="356">
        <f t="shared" si="8"/>
        <v>1953.2199999999996</v>
      </c>
      <c r="H84" s="357"/>
      <c r="I84" s="356"/>
      <c r="J84" s="356"/>
      <c r="K84" s="357"/>
      <c r="L84" s="356"/>
      <c r="M84" s="356"/>
      <c r="N84" s="358">
        <v>15</v>
      </c>
      <c r="O84" s="359">
        <f t="shared" si="9"/>
        <v>8015</v>
      </c>
      <c r="P84" s="358"/>
      <c r="Q84" s="359"/>
      <c r="R84" s="358">
        <v>3</v>
      </c>
      <c r="S84" s="359">
        <f t="shared" si="10"/>
        <v>7412</v>
      </c>
      <c r="T84" s="359">
        <f t="shared" si="11"/>
        <v>3771</v>
      </c>
      <c r="U84" s="357"/>
      <c r="V84" s="356"/>
      <c r="W84" s="356"/>
      <c r="X84" s="356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</row>
    <row r="85" spans="1:35" x14ac:dyDescent="0.2">
      <c r="A85" s="353">
        <v>40604</v>
      </c>
      <c r="B85" s="354" t="s">
        <v>736</v>
      </c>
      <c r="C85" s="355"/>
      <c r="D85" s="356">
        <v>5.7</v>
      </c>
      <c r="E85" s="356">
        <f t="shared" si="6"/>
        <v>2085.92</v>
      </c>
      <c r="F85" s="356">
        <f t="shared" si="7"/>
        <v>4798.33</v>
      </c>
      <c r="G85" s="356">
        <f t="shared" si="8"/>
        <v>1958.9199999999996</v>
      </c>
      <c r="H85" s="357"/>
      <c r="I85" s="356"/>
      <c r="J85" s="356"/>
      <c r="K85" s="357"/>
      <c r="L85" s="356"/>
      <c r="M85" s="356"/>
      <c r="N85" s="358">
        <v>22</v>
      </c>
      <c r="O85" s="359">
        <f t="shared" si="9"/>
        <v>8037</v>
      </c>
      <c r="P85" s="358"/>
      <c r="Q85" s="359"/>
      <c r="R85" s="358">
        <v>6</v>
      </c>
      <c r="S85" s="359">
        <f t="shared" si="10"/>
        <v>7418</v>
      </c>
      <c r="T85" s="359">
        <f t="shared" si="11"/>
        <v>3777</v>
      </c>
      <c r="U85" s="357"/>
      <c r="V85" s="356"/>
      <c r="W85" s="356"/>
      <c r="X85" s="356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</row>
    <row r="86" spans="1:35" x14ac:dyDescent="0.2">
      <c r="A86" s="353">
        <v>40605</v>
      </c>
      <c r="B86" s="354" t="s">
        <v>737</v>
      </c>
      <c r="C86" s="355"/>
      <c r="D86" s="356">
        <v>6</v>
      </c>
      <c r="E86" s="356">
        <f t="shared" si="6"/>
        <v>2091.92</v>
      </c>
      <c r="F86" s="356">
        <f t="shared" si="7"/>
        <v>4804.33</v>
      </c>
      <c r="G86" s="356">
        <f t="shared" si="8"/>
        <v>1964.9199999999996</v>
      </c>
      <c r="H86" s="357"/>
      <c r="I86" s="356"/>
      <c r="J86" s="356"/>
      <c r="K86" s="357"/>
      <c r="L86" s="356"/>
      <c r="M86" s="356"/>
      <c r="N86" s="358">
        <v>26</v>
      </c>
      <c r="O86" s="359">
        <f t="shared" si="9"/>
        <v>8063</v>
      </c>
      <c r="P86" s="358"/>
      <c r="Q86" s="359"/>
      <c r="R86" s="358">
        <v>9</v>
      </c>
      <c r="S86" s="359">
        <f t="shared" si="10"/>
        <v>7427</v>
      </c>
      <c r="T86" s="359">
        <f t="shared" si="11"/>
        <v>3786</v>
      </c>
      <c r="U86" s="357"/>
      <c r="V86" s="356"/>
      <c r="W86" s="356"/>
      <c r="X86" s="356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</row>
    <row r="87" spans="1:35" x14ac:dyDescent="0.2">
      <c r="A87" s="353">
        <v>40606</v>
      </c>
      <c r="B87" s="354" t="s">
        <v>738</v>
      </c>
      <c r="C87" s="355"/>
      <c r="D87" s="356">
        <v>2.9</v>
      </c>
      <c r="E87" s="356">
        <f t="shared" si="6"/>
        <v>2094.8200000000002</v>
      </c>
      <c r="F87" s="356">
        <f t="shared" si="7"/>
        <v>4807.2299999999996</v>
      </c>
      <c r="G87" s="356">
        <f t="shared" si="8"/>
        <v>1967.8199999999997</v>
      </c>
      <c r="H87" s="357"/>
      <c r="I87" s="356"/>
      <c r="J87" s="356"/>
      <c r="K87" s="357"/>
      <c r="L87" s="356"/>
      <c r="M87" s="356"/>
      <c r="N87" s="358">
        <v>19</v>
      </c>
      <c r="O87" s="359">
        <f t="shared" si="9"/>
        <v>8082</v>
      </c>
      <c r="P87" s="358"/>
      <c r="Q87" s="359"/>
      <c r="R87" s="358">
        <v>4</v>
      </c>
      <c r="S87" s="359">
        <f t="shared" si="10"/>
        <v>7431</v>
      </c>
      <c r="T87" s="359">
        <f t="shared" si="11"/>
        <v>3790</v>
      </c>
      <c r="U87" s="357"/>
      <c r="V87" s="356"/>
      <c r="W87" s="356"/>
      <c r="X87" s="356"/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  <c r="AI87" s="360"/>
    </row>
    <row r="88" spans="1:35" x14ac:dyDescent="0.2">
      <c r="A88" s="353">
        <v>40607</v>
      </c>
      <c r="B88" s="354" t="s">
        <v>739</v>
      </c>
      <c r="C88" s="355"/>
      <c r="D88" s="356">
        <v>4.29</v>
      </c>
      <c r="E88" s="356">
        <f t="shared" si="6"/>
        <v>2099.11</v>
      </c>
      <c r="F88" s="356">
        <f t="shared" si="7"/>
        <v>4811.5199999999995</v>
      </c>
      <c r="G88" s="356">
        <f t="shared" si="8"/>
        <v>1972.1099999999997</v>
      </c>
      <c r="H88" s="357"/>
      <c r="I88" s="356"/>
      <c r="J88" s="356"/>
      <c r="K88" s="357"/>
      <c r="L88" s="356"/>
      <c r="M88" s="356"/>
      <c r="N88" s="358">
        <v>18</v>
      </c>
      <c r="O88" s="359">
        <f t="shared" si="9"/>
        <v>8100</v>
      </c>
      <c r="P88" s="358"/>
      <c r="Q88" s="359"/>
      <c r="R88" s="358">
        <v>6</v>
      </c>
      <c r="S88" s="359">
        <f t="shared" si="10"/>
        <v>7437</v>
      </c>
      <c r="T88" s="359">
        <f t="shared" si="11"/>
        <v>3796</v>
      </c>
      <c r="U88" s="357"/>
      <c r="V88" s="356"/>
      <c r="W88" s="356"/>
      <c r="X88" s="356"/>
      <c r="Y88" s="360"/>
      <c r="Z88" s="360"/>
      <c r="AA88" s="360"/>
      <c r="AB88" s="360"/>
      <c r="AC88" s="360"/>
      <c r="AD88" s="360"/>
      <c r="AE88" s="360"/>
      <c r="AF88" s="360"/>
      <c r="AG88" s="360"/>
      <c r="AH88" s="360"/>
      <c r="AI88" s="360"/>
    </row>
    <row r="89" spans="1:35" x14ac:dyDescent="0.2">
      <c r="A89" s="353">
        <v>40608</v>
      </c>
      <c r="B89" s="354" t="s">
        <v>740</v>
      </c>
      <c r="C89" s="355"/>
      <c r="D89" s="356">
        <v>3.69</v>
      </c>
      <c r="E89" s="356">
        <f t="shared" si="6"/>
        <v>2102.8000000000002</v>
      </c>
      <c r="F89" s="356">
        <f t="shared" si="7"/>
        <v>4815.2099999999991</v>
      </c>
      <c r="G89" s="356">
        <f t="shared" si="8"/>
        <v>1975.7999999999997</v>
      </c>
      <c r="H89" s="357"/>
      <c r="I89" s="356"/>
      <c r="J89" s="356"/>
      <c r="K89" s="357"/>
      <c r="L89" s="356"/>
      <c r="M89" s="356"/>
      <c r="N89" s="358">
        <v>16</v>
      </c>
      <c r="O89" s="359">
        <f t="shared" si="9"/>
        <v>8116</v>
      </c>
      <c r="P89" s="358"/>
      <c r="Q89" s="359"/>
      <c r="R89" s="358">
        <v>4</v>
      </c>
      <c r="S89" s="359">
        <f t="shared" si="10"/>
        <v>7441</v>
      </c>
      <c r="T89" s="359">
        <f t="shared" si="11"/>
        <v>3800</v>
      </c>
      <c r="U89" s="357"/>
      <c r="V89" s="356"/>
      <c r="W89" s="356"/>
      <c r="X89" s="356"/>
      <c r="Y89" s="360"/>
      <c r="Z89" s="360"/>
      <c r="AA89" s="360"/>
      <c r="AB89" s="360"/>
      <c r="AC89" s="360"/>
      <c r="AD89" s="360"/>
      <c r="AE89" s="360"/>
      <c r="AF89" s="360"/>
      <c r="AG89" s="360"/>
      <c r="AH89" s="360"/>
      <c r="AI89" s="360"/>
    </row>
    <row r="90" spans="1:35" x14ac:dyDescent="0.2">
      <c r="A90" s="353">
        <v>40609</v>
      </c>
      <c r="B90" s="354" t="s">
        <v>815</v>
      </c>
      <c r="C90" s="355"/>
      <c r="D90" s="356">
        <v>2.9</v>
      </c>
      <c r="E90" s="356">
        <f t="shared" si="6"/>
        <v>2105.7000000000003</v>
      </c>
      <c r="F90" s="356">
        <f t="shared" si="7"/>
        <v>4818.1099999999988</v>
      </c>
      <c r="G90" s="356">
        <f t="shared" si="8"/>
        <v>1978.6999999999998</v>
      </c>
      <c r="H90" s="357"/>
      <c r="I90" s="356"/>
      <c r="J90" s="356"/>
      <c r="K90" s="357"/>
      <c r="L90" s="356"/>
      <c r="M90" s="356"/>
      <c r="N90" s="358">
        <v>10</v>
      </c>
      <c r="O90" s="359">
        <f t="shared" si="9"/>
        <v>8126</v>
      </c>
      <c r="P90" s="358"/>
      <c r="Q90" s="359"/>
      <c r="R90" s="358">
        <v>7</v>
      </c>
      <c r="S90" s="359">
        <f t="shared" si="10"/>
        <v>7448</v>
      </c>
      <c r="T90" s="359">
        <f t="shared" si="11"/>
        <v>3807</v>
      </c>
      <c r="U90" s="357"/>
      <c r="V90" s="356"/>
      <c r="W90" s="356"/>
      <c r="X90" s="356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</row>
    <row r="91" spans="1:35" x14ac:dyDescent="0.2">
      <c r="A91" s="353">
        <v>40610</v>
      </c>
      <c r="B91" s="354" t="s">
        <v>816</v>
      </c>
      <c r="C91" s="355"/>
      <c r="D91" s="356">
        <v>2.5</v>
      </c>
      <c r="E91" s="356">
        <f t="shared" si="6"/>
        <v>2108.2000000000003</v>
      </c>
      <c r="F91" s="356">
        <f t="shared" si="7"/>
        <v>4820.6099999999988</v>
      </c>
      <c r="G91" s="356">
        <f t="shared" si="8"/>
        <v>1981.1999999999998</v>
      </c>
      <c r="H91" s="357"/>
      <c r="I91" s="356"/>
      <c r="J91" s="356"/>
      <c r="K91" s="357"/>
      <c r="L91" s="356"/>
      <c r="M91" s="356"/>
      <c r="N91" s="358">
        <v>15</v>
      </c>
      <c r="O91" s="359">
        <f t="shared" si="9"/>
        <v>8141</v>
      </c>
      <c r="P91" s="358"/>
      <c r="Q91" s="359"/>
      <c r="R91" s="358">
        <v>5</v>
      </c>
      <c r="S91" s="359">
        <f t="shared" si="10"/>
        <v>7453</v>
      </c>
      <c r="T91" s="359">
        <f t="shared" si="11"/>
        <v>3812</v>
      </c>
      <c r="U91" s="357"/>
      <c r="V91" s="356"/>
      <c r="W91" s="356"/>
      <c r="X91" s="356"/>
      <c r="Y91" s="360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</row>
    <row r="92" spans="1:35" x14ac:dyDescent="0.2">
      <c r="A92" s="353">
        <v>40611</v>
      </c>
      <c r="B92" s="354" t="s">
        <v>817</v>
      </c>
      <c r="C92" s="355"/>
      <c r="D92" s="356">
        <v>0.7</v>
      </c>
      <c r="E92" s="356">
        <f t="shared" si="6"/>
        <v>2108.9</v>
      </c>
      <c r="F92" s="356">
        <f t="shared" si="7"/>
        <v>4821.3099999999986</v>
      </c>
      <c r="G92" s="356">
        <f t="shared" si="8"/>
        <v>1981.8999999999999</v>
      </c>
      <c r="H92" s="357"/>
      <c r="I92" s="356"/>
      <c r="J92" s="356"/>
      <c r="K92" s="357"/>
      <c r="L92" s="356"/>
      <c r="M92" s="356"/>
      <c r="N92" s="358">
        <v>2</v>
      </c>
      <c r="O92" s="359">
        <f t="shared" si="9"/>
        <v>8143</v>
      </c>
      <c r="P92" s="358"/>
      <c r="Q92" s="359"/>
      <c r="R92" s="358">
        <v>1</v>
      </c>
      <c r="S92" s="359">
        <f t="shared" si="10"/>
        <v>7454</v>
      </c>
      <c r="T92" s="359">
        <f t="shared" si="11"/>
        <v>3813</v>
      </c>
      <c r="U92" s="357"/>
      <c r="V92" s="356"/>
      <c r="W92" s="356"/>
      <c r="X92" s="356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360"/>
    </row>
    <row r="93" spans="1:35" x14ac:dyDescent="0.2">
      <c r="A93" s="353">
        <v>40612</v>
      </c>
      <c r="B93" s="354"/>
      <c r="C93" s="355"/>
      <c r="D93" s="356"/>
      <c r="E93" s="356">
        <f t="shared" si="6"/>
        <v>2108.9</v>
      </c>
      <c r="F93" s="356">
        <f t="shared" si="7"/>
        <v>4821.3099999999986</v>
      </c>
      <c r="G93" s="356">
        <f t="shared" si="8"/>
        <v>1981.8999999999999</v>
      </c>
      <c r="H93" s="357"/>
      <c r="I93" s="356"/>
      <c r="J93" s="356"/>
      <c r="K93" s="357"/>
      <c r="L93" s="356"/>
      <c r="M93" s="356"/>
      <c r="N93" s="358"/>
      <c r="O93" s="359">
        <f t="shared" si="9"/>
        <v>8143</v>
      </c>
      <c r="P93" s="358"/>
      <c r="Q93" s="359"/>
      <c r="R93" s="358"/>
      <c r="S93" s="359">
        <f t="shared" si="10"/>
        <v>7454</v>
      </c>
      <c r="T93" s="359">
        <f t="shared" si="11"/>
        <v>3813</v>
      </c>
      <c r="U93" s="357"/>
      <c r="V93" s="356"/>
      <c r="W93" s="356"/>
      <c r="X93" s="356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</row>
    <row r="94" spans="1:35" x14ac:dyDescent="0.2">
      <c r="A94" s="353">
        <v>40613</v>
      </c>
      <c r="B94" s="354" t="s">
        <v>818</v>
      </c>
      <c r="C94" s="355"/>
      <c r="D94" s="356">
        <v>2.7</v>
      </c>
      <c r="E94" s="356">
        <f t="shared" si="6"/>
        <v>2111.6</v>
      </c>
      <c r="F94" s="356">
        <f t="shared" si="7"/>
        <v>4824.0099999999984</v>
      </c>
      <c r="G94" s="356">
        <f t="shared" si="8"/>
        <v>1984.6</v>
      </c>
      <c r="H94" s="357"/>
      <c r="I94" s="356"/>
      <c r="J94" s="356"/>
      <c r="K94" s="357"/>
      <c r="L94" s="356"/>
      <c r="M94" s="356"/>
      <c r="N94" s="358">
        <v>13</v>
      </c>
      <c r="O94" s="359">
        <f t="shared" si="9"/>
        <v>8156</v>
      </c>
      <c r="P94" s="358"/>
      <c r="Q94" s="359"/>
      <c r="R94" s="358">
        <v>6</v>
      </c>
      <c r="S94" s="359">
        <f t="shared" si="10"/>
        <v>7460</v>
      </c>
      <c r="T94" s="359">
        <f t="shared" si="11"/>
        <v>3819</v>
      </c>
      <c r="U94" s="357"/>
      <c r="V94" s="356"/>
      <c r="W94" s="356"/>
      <c r="X94" s="356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</row>
    <row r="95" spans="1:35" x14ac:dyDescent="0.2">
      <c r="A95" s="353">
        <v>40614</v>
      </c>
      <c r="B95" s="354" t="s">
        <v>819</v>
      </c>
      <c r="C95" s="355"/>
      <c r="D95" s="356">
        <v>1.6</v>
      </c>
      <c r="E95" s="356">
        <f t="shared" si="6"/>
        <v>2113.1999999999998</v>
      </c>
      <c r="F95" s="356">
        <f t="shared" si="7"/>
        <v>4825.6099999999988</v>
      </c>
      <c r="G95" s="356">
        <f t="shared" si="8"/>
        <v>1986.1999999999998</v>
      </c>
      <c r="H95" s="357"/>
      <c r="I95" s="356"/>
      <c r="J95" s="356"/>
      <c r="K95" s="357"/>
      <c r="L95" s="356"/>
      <c r="M95" s="356"/>
      <c r="N95" s="358">
        <v>4</v>
      </c>
      <c r="O95" s="359">
        <f t="shared" si="9"/>
        <v>8160</v>
      </c>
      <c r="P95" s="358"/>
      <c r="Q95" s="359"/>
      <c r="R95" s="358">
        <v>3</v>
      </c>
      <c r="S95" s="359">
        <f t="shared" si="10"/>
        <v>7463</v>
      </c>
      <c r="T95" s="359">
        <f t="shared" si="11"/>
        <v>3822</v>
      </c>
      <c r="U95" s="357"/>
      <c r="V95" s="356"/>
      <c r="W95" s="356"/>
      <c r="X95" s="356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</row>
    <row r="96" spans="1:35" x14ac:dyDescent="0.2">
      <c r="A96" s="353">
        <v>40615</v>
      </c>
      <c r="B96" s="354" t="s">
        <v>820</v>
      </c>
      <c r="C96" s="355"/>
      <c r="D96" s="356">
        <v>1.3</v>
      </c>
      <c r="E96" s="356">
        <f t="shared" si="6"/>
        <v>2114.5</v>
      </c>
      <c r="F96" s="356">
        <f t="shared" si="7"/>
        <v>4826.9099999999989</v>
      </c>
      <c r="G96" s="356">
        <f t="shared" si="8"/>
        <v>1987.4999999999998</v>
      </c>
      <c r="H96" s="357"/>
      <c r="I96" s="356"/>
      <c r="J96" s="356"/>
      <c r="K96" s="357"/>
      <c r="L96" s="356"/>
      <c r="M96" s="356"/>
      <c r="N96" s="358">
        <v>4</v>
      </c>
      <c r="O96" s="359">
        <f t="shared" si="9"/>
        <v>8164</v>
      </c>
      <c r="P96" s="358"/>
      <c r="Q96" s="359"/>
      <c r="R96" s="358">
        <v>4</v>
      </c>
      <c r="S96" s="359">
        <f t="shared" si="10"/>
        <v>7467</v>
      </c>
      <c r="T96" s="359">
        <f t="shared" si="11"/>
        <v>3826</v>
      </c>
      <c r="U96" s="357"/>
      <c r="V96" s="356"/>
      <c r="W96" s="356"/>
      <c r="X96" s="356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</row>
    <row r="97" spans="1:35" x14ac:dyDescent="0.2">
      <c r="A97" s="353">
        <v>40616</v>
      </c>
      <c r="B97" s="354" t="s">
        <v>821</v>
      </c>
      <c r="C97" s="355"/>
      <c r="D97" s="356">
        <v>1.1000000000000001</v>
      </c>
      <c r="E97" s="356">
        <f t="shared" si="6"/>
        <v>2115.6</v>
      </c>
      <c r="F97" s="356">
        <f t="shared" si="7"/>
        <v>4828.0099999999993</v>
      </c>
      <c r="G97" s="356">
        <f t="shared" si="8"/>
        <v>1988.5999999999997</v>
      </c>
      <c r="H97" s="357"/>
      <c r="I97" s="356"/>
      <c r="J97" s="356"/>
      <c r="K97" s="357"/>
      <c r="L97" s="356"/>
      <c r="M97" s="356"/>
      <c r="N97" s="358">
        <v>2</v>
      </c>
      <c r="O97" s="359">
        <f t="shared" si="9"/>
        <v>8166</v>
      </c>
      <c r="P97" s="358"/>
      <c r="Q97" s="359"/>
      <c r="R97" s="358">
        <v>2</v>
      </c>
      <c r="S97" s="359">
        <f t="shared" si="10"/>
        <v>7469</v>
      </c>
      <c r="T97" s="359">
        <f t="shared" si="11"/>
        <v>3828</v>
      </c>
      <c r="U97" s="357"/>
      <c r="V97" s="356"/>
      <c r="W97" s="356"/>
      <c r="X97" s="356"/>
      <c r="Y97" s="360"/>
      <c r="Z97" s="360"/>
      <c r="AA97" s="360"/>
      <c r="AB97" s="360"/>
      <c r="AC97" s="360"/>
      <c r="AD97" s="360"/>
      <c r="AE97" s="360"/>
      <c r="AF97" s="360"/>
      <c r="AG97" s="360"/>
      <c r="AH97" s="360"/>
      <c r="AI97" s="360"/>
    </row>
    <row r="98" spans="1:35" x14ac:dyDescent="0.2">
      <c r="A98" s="353">
        <v>40617</v>
      </c>
      <c r="B98" s="354" t="s">
        <v>822</v>
      </c>
      <c r="C98" s="355"/>
      <c r="D98" s="356">
        <v>0.9</v>
      </c>
      <c r="E98" s="356">
        <f t="shared" si="6"/>
        <v>2116.5</v>
      </c>
      <c r="F98" s="356">
        <f t="shared" si="7"/>
        <v>4828.9099999999989</v>
      </c>
      <c r="G98" s="356">
        <f t="shared" si="8"/>
        <v>1989.4999999999998</v>
      </c>
      <c r="H98" s="357"/>
      <c r="I98" s="356"/>
      <c r="J98" s="356"/>
      <c r="K98" s="357"/>
      <c r="L98" s="356"/>
      <c r="M98" s="356"/>
      <c r="N98" s="358">
        <v>1</v>
      </c>
      <c r="O98" s="359">
        <f t="shared" si="9"/>
        <v>8167</v>
      </c>
      <c r="P98" s="358"/>
      <c r="Q98" s="359"/>
      <c r="R98" s="358">
        <v>1</v>
      </c>
      <c r="S98" s="359">
        <f t="shared" si="10"/>
        <v>7470</v>
      </c>
      <c r="T98" s="359">
        <f t="shared" si="11"/>
        <v>3829</v>
      </c>
      <c r="U98" s="357"/>
      <c r="V98" s="356"/>
      <c r="W98" s="356"/>
      <c r="X98" s="356"/>
      <c r="Y98" s="360"/>
      <c r="Z98" s="360"/>
      <c r="AA98" s="360"/>
      <c r="AB98" s="360"/>
      <c r="AC98" s="360"/>
      <c r="AD98" s="360"/>
      <c r="AE98" s="360"/>
      <c r="AF98" s="360"/>
      <c r="AG98" s="360"/>
      <c r="AH98" s="360"/>
      <c r="AI98" s="360"/>
    </row>
    <row r="99" spans="1:35" x14ac:dyDescent="0.2">
      <c r="A99" s="353">
        <v>40618</v>
      </c>
      <c r="B99" s="354"/>
      <c r="C99" s="355"/>
      <c r="D99" s="356"/>
      <c r="E99" s="356">
        <f t="shared" si="6"/>
        <v>2116.5</v>
      </c>
      <c r="F99" s="356">
        <f t="shared" si="7"/>
        <v>4828.9099999999989</v>
      </c>
      <c r="G99" s="356">
        <f t="shared" si="8"/>
        <v>1989.4999999999998</v>
      </c>
      <c r="H99" s="357"/>
      <c r="I99" s="356"/>
      <c r="J99" s="356"/>
      <c r="K99" s="357"/>
      <c r="L99" s="356"/>
      <c r="M99" s="356"/>
      <c r="N99" s="358"/>
      <c r="O99" s="359">
        <f t="shared" si="9"/>
        <v>8167</v>
      </c>
      <c r="P99" s="358"/>
      <c r="Q99" s="359"/>
      <c r="R99" s="358"/>
      <c r="S99" s="359">
        <f t="shared" si="10"/>
        <v>7470</v>
      </c>
      <c r="T99" s="359">
        <f t="shared" si="11"/>
        <v>3829</v>
      </c>
      <c r="U99" s="357"/>
      <c r="V99" s="356"/>
      <c r="W99" s="356"/>
      <c r="X99" s="356"/>
      <c r="Y99" s="360"/>
      <c r="Z99" s="360"/>
      <c r="AA99" s="360"/>
      <c r="AB99" s="360"/>
      <c r="AC99" s="360"/>
      <c r="AD99" s="360"/>
      <c r="AE99" s="360"/>
      <c r="AF99" s="360"/>
      <c r="AG99" s="360"/>
      <c r="AH99" s="360"/>
      <c r="AI99" s="360"/>
    </row>
    <row r="100" spans="1:35" x14ac:dyDescent="0.2">
      <c r="A100" s="353">
        <v>40619</v>
      </c>
      <c r="B100" s="354"/>
      <c r="C100" s="355"/>
      <c r="D100" s="356"/>
      <c r="E100" s="356">
        <f t="shared" si="6"/>
        <v>2116.5</v>
      </c>
      <c r="F100" s="356">
        <f t="shared" si="7"/>
        <v>4828.9099999999989</v>
      </c>
      <c r="G100" s="356">
        <f t="shared" si="8"/>
        <v>1989.4999999999998</v>
      </c>
      <c r="H100" s="357"/>
      <c r="I100" s="356"/>
      <c r="J100" s="356"/>
      <c r="K100" s="357"/>
      <c r="L100" s="356"/>
      <c r="M100" s="356"/>
      <c r="N100" s="358"/>
      <c r="O100" s="359">
        <f t="shared" si="9"/>
        <v>8167</v>
      </c>
      <c r="P100" s="358"/>
      <c r="Q100" s="359"/>
      <c r="R100" s="358"/>
      <c r="S100" s="359">
        <f t="shared" si="10"/>
        <v>7470</v>
      </c>
      <c r="T100" s="359">
        <f t="shared" si="11"/>
        <v>3829</v>
      </c>
      <c r="U100" s="357"/>
      <c r="V100" s="356"/>
      <c r="W100" s="356"/>
      <c r="X100" s="356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</row>
    <row r="101" spans="1:35" x14ac:dyDescent="0.2">
      <c r="A101" s="353">
        <v>40620</v>
      </c>
      <c r="B101" s="354" t="s">
        <v>823</v>
      </c>
      <c r="C101" s="355"/>
      <c r="D101" s="356">
        <v>3.1</v>
      </c>
      <c r="E101" s="356">
        <f t="shared" si="6"/>
        <v>2119.6</v>
      </c>
      <c r="F101" s="356">
        <f t="shared" si="7"/>
        <v>4832.0099999999993</v>
      </c>
      <c r="G101" s="356">
        <f t="shared" si="8"/>
        <v>1992.5999999999997</v>
      </c>
      <c r="H101" s="357"/>
      <c r="I101" s="356"/>
      <c r="J101" s="356"/>
      <c r="K101" s="357"/>
      <c r="L101" s="356"/>
      <c r="M101" s="356"/>
      <c r="N101" s="358">
        <v>8</v>
      </c>
      <c r="O101" s="359">
        <f t="shared" si="9"/>
        <v>8175</v>
      </c>
      <c r="P101" s="358"/>
      <c r="Q101" s="359"/>
      <c r="R101" s="358">
        <v>8</v>
      </c>
      <c r="S101" s="359">
        <f t="shared" si="10"/>
        <v>7478</v>
      </c>
      <c r="T101" s="359">
        <f t="shared" si="11"/>
        <v>3837</v>
      </c>
      <c r="U101" s="357"/>
      <c r="V101" s="356"/>
      <c r="W101" s="356"/>
      <c r="X101" s="356"/>
      <c r="Y101" s="360"/>
      <c r="Z101" s="360"/>
      <c r="AA101" s="360"/>
      <c r="AB101" s="360"/>
      <c r="AC101" s="360"/>
      <c r="AD101" s="360"/>
      <c r="AE101" s="360"/>
      <c r="AF101" s="360"/>
      <c r="AG101" s="360"/>
      <c r="AH101" s="360"/>
      <c r="AI101" s="360"/>
    </row>
    <row r="102" spans="1:35" x14ac:dyDescent="0.2">
      <c r="A102" s="353">
        <v>40621</v>
      </c>
      <c r="B102" s="354"/>
      <c r="C102" s="355"/>
      <c r="D102" s="356"/>
      <c r="E102" s="356">
        <f t="shared" si="6"/>
        <v>2119.6</v>
      </c>
      <c r="F102" s="356">
        <f t="shared" si="7"/>
        <v>4832.0099999999993</v>
      </c>
      <c r="G102" s="356">
        <f t="shared" si="8"/>
        <v>1992.5999999999997</v>
      </c>
      <c r="H102" s="357"/>
      <c r="I102" s="356"/>
      <c r="J102" s="356"/>
      <c r="K102" s="357"/>
      <c r="L102" s="356"/>
      <c r="M102" s="356"/>
      <c r="N102" s="358"/>
      <c r="O102" s="359">
        <f t="shared" si="9"/>
        <v>8175</v>
      </c>
      <c r="P102" s="358"/>
      <c r="Q102" s="359"/>
      <c r="R102" s="358"/>
      <c r="S102" s="359">
        <f t="shared" si="10"/>
        <v>7478</v>
      </c>
      <c r="T102" s="359">
        <f t="shared" si="11"/>
        <v>3837</v>
      </c>
      <c r="U102" s="357"/>
      <c r="V102" s="356"/>
      <c r="W102" s="356"/>
      <c r="X102" s="356"/>
      <c r="Y102" s="360"/>
      <c r="Z102" s="360"/>
      <c r="AA102" s="360"/>
      <c r="AB102" s="360"/>
      <c r="AC102" s="360"/>
      <c r="AD102" s="360"/>
      <c r="AE102" s="360"/>
      <c r="AF102" s="360"/>
      <c r="AG102" s="360"/>
      <c r="AH102" s="360"/>
      <c r="AI102" s="360"/>
    </row>
    <row r="103" spans="1:35" x14ac:dyDescent="0.2">
      <c r="A103" s="353">
        <v>40622</v>
      </c>
      <c r="B103" s="354" t="s">
        <v>824</v>
      </c>
      <c r="C103" s="355"/>
      <c r="D103" s="356">
        <v>2.2000000000000002</v>
      </c>
      <c r="E103" s="356">
        <f t="shared" si="6"/>
        <v>2121.7999999999997</v>
      </c>
      <c r="F103" s="356">
        <f t="shared" si="7"/>
        <v>4834.2099999999991</v>
      </c>
      <c r="G103" s="356">
        <f t="shared" si="8"/>
        <v>1994.7999999999997</v>
      </c>
      <c r="H103" s="357"/>
      <c r="I103" s="356"/>
      <c r="J103" s="356"/>
      <c r="K103" s="357"/>
      <c r="L103" s="356"/>
      <c r="M103" s="356"/>
      <c r="N103" s="358">
        <v>21</v>
      </c>
      <c r="O103" s="359">
        <f t="shared" si="9"/>
        <v>8196</v>
      </c>
      <c r="P103" s="358"/>
      <c r="Q103" s="359"/>
      <c r="R103" s="358">
        <v>8</v>
      </c>
      <c r="S103" s="359">
        <f t="shared" si="10"/>
        <v>7486</v>
      </c>
      <c r="T103" s="359">
        <f t="shared" si="11"/>
        <v>3845</v>
      </c>
      <c r="U103" s="357"/>
      <c r="V103" s="356"/>
      <c r="W103" s="356"/>
      <c r="X103" s="356"/>
      <c r="Y103" s="360"/>
      <c r="Z103" s="360"/>
      <c r="AA103" s="360"/>
      <c r="AB103" s="360"/>
      <c r="AC103" s="360"/>
      <c r="AD103" s="360"/>
      <c r="AE103" s="360"/>
      <c r="AF103" s="360"/>
      <c r="AG103" s="360"/>
      <c r="AH103" s="360"/>
      <c r="AI103" s="360"/>
    </row>
    <row r="104" spans="1:35" x14ac:dyDescent="0.2">
      <c r="A104" s="353">
        <v>40623</v>
      </c>
      <c r="B104" s="354" t="s">
        <v>825</v>
      </c>
      <c r="C104" s="355"/>
      <c r="D104" s="356">
        <v>1</v>
      </c>
      <c r="E104" s="356">
        <f t="shared" si="6"/>
        <v>2122.7999999999997</v>
      </c>
      <c r="F104" s="356">
        <f t="shared" si="7"/>
        <v>4835.2099999999991</v>
      </c>
      <c r="G104" s="356">
        <f t="shared" si="8"/>
        <v>1995.7999999999997</v>
      </c>
      <c r="H104" s="357"/>
      <c r="I104" s="356"/>
      <c r="J104" s="356"/>
      <c r="K104" s="357"/>
      <c r="L104" s="356"/>
      <c r="M104" s="356"/>
      <c r="N104" s="358">
        <v>4</v>
      </c>
      <c r="O104" s="359">
        <f t="shared" si="9"/>
        <v>8200</v>
      </c>
      <c r="P104" s="358"/>
      <c r="Q104" s="359"/>
      <c r="R104" s="358">
        <v>2</v>
      </c>
      <c r="S104" s="359">
        <f t="shared" si="10"/>
        <v>7488</v>
      </c>
      <c r="T104" s="359">
        <f t="shared" si="11"/>
        <v>3847</v>
      </c>
      <c r="U104" s="357"/>
      <c r="V104" s="356"/>
      <c r="W104" s="356"/>
      <c r="X104" s="356"/>
      <c r="Y104" s="360"/>
      <c r="Z104" s="360"/>
      <c r="AA104" s="360"/>
      <c r="AB104" s="360"/>
      <c r="AC104" s="360"/>
      <c r="AD104" s="360"/>
      <c r="AE104" s="360"/>
      <c r="AF104" s="360"/>
      <c r="AG104" s="360"/>
      <c r="AH104" s="360"/>
      <c r="AI104" s="360"/>
    </row>
    <row r="105" spans="1:35" x14ac:dyDescent="0.2">
      <c r="A105" s="353">
        <v>40624</v>
      </c>
      <c r="B105" s="354"/>
      <c r="C105" s="355"/>
      <c r="D105" s="356"/>
      <c r="E105" s="356">
        <f t="shared" si="6"/>
        <v>2122.7999999999997</v>
      </c>
      <c r="F105" s="356">
        <f t="shared" si="7"/>
        <v>4835.2099999999991</v>
      </c>
      <c r="G105" s="356">
        <f t="shared" si="8"/>
        <v>1995.7999999999997</v>
      </c>
      <c r="H105" s="357"/>
      <c r="I105" s="356"/>
      <c r="J105" s="356"/>
      <c r="K105" s="357"/>
      <c r="L105" s="356"/>
      <c r="M105" s="356"/>
      <c r="N105" s="358"/>
      <c r="O105" s="359">
        <f t="shared" si="9"/>
        <v>8200</v>
      </c>
      <c r="P105" s="358"/>
      <c r="Q105" s="359"/>
      <c r="R105" s="358"/>
      <c r="S105" s="359">
        <f t="shared" si="10"/>
        <v>7488</v>
      </c>
      <c r="T105" s="359">
        <f t="shared" si="11"/>
        <v>3847</v>
      </c>
      <c r="U105" s="357"/>
      <c r="V105" s="356"/>
      <c r="W105" s="356"/>
      <c r="X105" s="356"/>
      <c r="Y105" s="360"/>
      <c r="Z105" s="360"/>
      <c r="AA105" s="360"/>
      <c r="AB105" s="360"/>
      <c r="AC105" s="360"/>
      <c r="AD105" s="360"/>
      <c r="AE105" s="360"/>
      <c r="AF105" s="360"/>
      <c r="AG105" s="360"/>
      <c r="AH105" s="360"/>
      <c r="AI105" s="360"/>
    </row>
    <row r="106" spans="1:35" x14ac:dyDescent="0.2">
      <c r="A106" s="353">
        <v>40625</v>
      </c>
      <c r="B106" s="354"/>
      <c r="C106" s="355"/>
      <c r="D106" s="356"/>
      <c r="E106" s="356">
        <f t="shared" si="6"/>
        <v>2122.7999999999997</v>
      </c>
      <c r="F106" s="356">
        <f t="shared" si="7"/>
        <v>4835.2099999999991</v>
      </c>
      <c r="G106" s="356">
        <f t="shared" si="8"/>
        <v>1995.7999999999997</v>
      </c>
      <c r="H106" s="357"/>
      <c r="I106" s="356"/>
      <c r="J106" s="356"/>
      <c r="K106" s="357"/>
      <c r="L106" s="356"/>
      <c r="M106" s="356"/>
      <c r="N106" s="358"/>
      <c r="O106" s="359">
        <f t="shared" si="9"/>
        <v>8200</v>
      </c>
      <c r="P106" s="358"/>
      <c r="Q106" s="359"/>
      <c r="R106" s="358"/>
      <c r="S106" s="359">
        <f t="shared" si="10"/>
        <v>7488</v>
      </c>
      <c r="T106" s="359">
        <f t="shared" si="11"/>
        <v>3847</v>
      </c>
      <c r="U106" s="357"/>
      <c r="V106" s="356"/>
      <c r="W106" s="356"/>
      <c r="X106" s="356"/>
      <c r="Y106" s="360"/>
      <c r="Z106" s="360"/>
      <c r="AA106" s="360"/>
      <c r="AB106" s="360"/>
      <c r="AC106" s="360"/>
      <c r="AD106" s="360"/>
      <c r="AE106" s="360"/>
      <c r="AF106" s="360"/>
      <c r="AG106" s="360"/>
      <c r="AH106" s="360"/>
      <c r="AI106" s="360"/>
    </row>
    <row r="107" spans="1:35" x14ac:dyDescent="0.2">
      <c r="A107" s="353">
        <v>40626</v>
      </c>
      <c r="B107" s="354" t="s">
        <v>826</v>
      </c>
      <c r="C107" s="355"/>
      <c r="D107" s="356">
        <v>0.3</v>
      </c>
      <c r="E107" s="356">
        <f t="shared" si="6"/>
        <v>2123.1</v>
      </c>
      <c r="F107" s="356">
        <f t="shared" si="7"/>
        <v>4835.5099999999993</v>
      </c>
      <c r="G107" s="356">
        <f t="shared" si="8"/>
        <v>1996.0999999999997</v>
      </c>
      <c r="H107" s="357"/>
      <c r="I107" s="356"/>
      <c r="J107" s="356"/>
      <c r="K107" s="357"/>
      <c r="L107" s="356"/>
      <c r="M107" s="356"/>
      <c r="N107" s="358">
        <v>1</v>
      </c>
      <c r="O107" s="359">
        <f t="shared" si="9"/>
        <v>8201</v>
      </c>
      <c r="P107" s="358"/>
      <c r="Q107" s="359"/>
      <c r="R107" s="358">
        <v>1</v>
      </c>
      <c r="S107" s="359">
        <f t="shared" si="10"/>
        <v>7489</v>
      </c>
      <c r="T107" s="359">
        <f t="shared" si="11"/>
        <v>3848</v>
      </c>
      <c r="U107" s="357"/>
      <c r="V107" s="356"/>
      <c r="W107" s="356"/>
      <c r="X107" s="356"/>
      <c r="Y107" s="360"/>
      <c r="Z107" s="360"/>
      <c r="AA107" s="360"/>
      <c r="AB107" s="360"/>
      <c r="AC107" s="360"/>
      <c r="AD107" s="360"/>
      <c r="AE107" s="360"/>
      <c r="AF107" s="360"/>
      <c r="AG107" s="360"/>
      <c r="AH107" s="360"/>
      <c r="AI107" s="360"/>
    </row>
    <row r="108" spans="1:35" x14ac:dyDescent="0.2">
      <c r="A108" s="353">
        <v>40627</v>
      </c>
      <c r="B108" s="354" t="s">
        <v>827</v>
      </c>
      <c r="C108" s="355"/>
      <c r="D108" s="356">
        <v>0.8</v>
      </c>
      <c r="E108" s="356">
        <f t="shared" si="6"/>
        <v>2123.9</v>
      </c>
      <c r="F108" s="356">
        <f t="shared" si="7"/>
        <v>4836.3099999999995</v>
      </c>
      <c r="G108" s="356">
        <f t="shared" si="8"/>
        <v>1996.8999999999996</v>
      </c>
      <c r="H108" s="357"/>
      <c r="I108" s="356"/>
      <c r="J108" s="356"/>
      <c r="K108" s="357"/>
      <c r="L108" s="356"/>
      <c r="M108" s="356"/>
      <c r="N108" s="358">
        <v>1</v>
      </c>
      <c r="O108" s="359">
        <f t="shared" si="9"/>
        <v>8202</v>
      </c>
      <c r="P108" s="358"/>
      <c r="Q108" s="359"/>
      <c r="R108" s="358">
        <v>1</v>
      </c>
      <c r="S108" s="359">
        <f t="shared" si="10"/>
        <v>7490</v>
      </c>
      <c r="T108" s="359">
        <f t="shared" si="11"/>
        <v>3849</v>
      </c>
      <c r="U108" s="357"/>
      <c r="V108" s="356"/>
      <c r="W108" s="356"/>
      <c r="X108" s="356"/>
      <c r="Y108" s="360"/>
      <c r="Z108" s="360"/>
      <c r="AA108" s="360"/>
      <c r="AB108" s="360"/>
      <c r="AC108" s="360"/>
      <c r="AD108" s="360"/>
      <c r="AE108" s="360"/>
      <c r="AF108" s="360"/>
      <c r="AG108" s="360"/>
      <c r="AH108" s="360"/>
      <c r="AI108" s="360"/>
    </row>
    <row r="109" spans="1:35" x14ac:dyDescent="0.2">
      <c r="A109" s="353">
        <v>40628</v>
      </c>
      <c r="B109" s="354"/>
      <c r="C109" s="355"/>
      <c r="D109" s="356"/>
      <c r="E109" s="356">
        <f t="shared" si="6"/>
        <v>2123.9</v>
      </c>
      <c r="F109" s="356">
        <f t="shared" si="7"/>
        <v>4836.3099999999995</v>
      </c>
      <c r="G109" s="356">
        <f t="shared" si="8"/>
        <v>1996.8999999999996</v>
      </c>
      <c r="H109" s="357"/>
      <c r="I109" s="356"/>
      <c r="J109" s="356"/>
      <c r="K109" s="357"/>
      <c r="L109" s="356"/>
      <c r="M109" s="356"/>
      <c r="N109" s="358"/>
      <c r="O109" s="359">
        <f t="shared" si="9"/>
        <v>8202</v>
      </c>
      <c r="P109" s="358"/>
      <c r="Q109" s="359"/>
      <c r="R109" s="358"/>
      <c r="S109" s="359">
        <f t="shared" si="10"/>
        <v>7490</v>
      </c>
      <c r="T109" s="359">
        <f t="shared" si="11"/>
        <v>3849</v>
      </c>
      <c r="U109" s="357"/>
      <c r="V109" s="356"/>
      <c r="W109" s="356"/>
      <c r="X109" s="356"/>
      <c r="Y109" s="360"/>
      <c r="Z109" s="360"/>
      <c r="AA109" s="360"/>
      <c r="AB109" s="360"/>
      <c r="AC109" s="360"/>
      <c r="AD109" s="360"/>
      <c r="AE109" s="360"/>
      <c r="AF109" s="360"/>
      <c r="AG109" s="360"/>
      <c r="AH109" s="360"/>
      <c r="AI109" s="360"/>
    </row>
    <row r="110" spans="1:35" x14ac:dyDescent="0.2">
      <c r="A110" s="353">
        <v>40629</v>
      </c>
      <c r="B110" s="354"/>
      <c r="C110" s="355"/>
      <c r="D110" s="356"/>
      <c r="E110" s="356">
        <f t="shared" si="6"/>
        <v>2123.9</v>
      </c>
      <c r="F110" s="356">
        <f t="shared" si="7"/>
        <v>4836.3099999999995</v>
      </c>
      <c r="G110" s="356">
        <f t="shared" si="8"/>
        <v>1996.8999999999996</v>
      </c>
      <c r="H110" s="357"/>
      <c r="I110" s="356"/>
      <c r="J110" s="356"/>
      <c r="K110" s="357"/>
      <c r="L110" s="356"/>
      <c r="M110" s="356"/>
      <c r="N110" s="358"/>
      <c r="O110" s="359">
        <f t="shared" si="9"/>
        <v>8202</v>
      </c>
      <c r="P110" s="358"/>
      <c r="Q110" s="359"/>
      <c r="R110" s="358"/>
      <c r="S110" s="359">
        <f t="shared" si="10"/>
        <v>7490</v>
      </c>
      <c r="T110" s="359">
        <f t="shared" si="11"/>
        <v>3849</v>
      </c>
      <c r="U110" s="357"/>
      <c r="V110" s="356"/>
      <c r="W110" s="356"/>
      <c r="X110" s="356"/>
      <c r="Y110" s="360"/>
      <c r="Z110" s="360"/>
      <c r="AA110" s="360"/>
      <c r="AB110" s="360"/>
      <c r="AC110" s="360"/>
      <c r="AD110" s="360"/>
      <c r="AE110" s="360"/>
      <c r="AF110" s="360"/>
      <c r="AG110" s="360"/>
      <c r="AH110" s="360"/>
      <c r="AI110" s="360"/>
    </row>
    <row r="111" spans="1:35" x14ac:dyDescent="0.2">
      <c r="A111" s="353">
        <v>40630</v>
      </c>
      <c r="B111" s="354" t="s">
        <v>828</v>
      </c>
      <c r="C111" s="355"/>
      <c r="D111" s="356">
        <v>2</v>
      </c>
      <c r="E111" s="356">
        <f t="shared" si="6"/>
        <v>2125.9</v>
      </c>
      <c r="F111" s="356">
        <f t="shared" si="7"/>
        <v>4838.3099999999995</v>
      </c>
      <c r="G111" s="356">
        <f t="shared" si="8"/>
        <v>1998.8999999999996</v>
      </c>
      <c r="H111" s="357"/>
      <c r="I111" s="356"/>
      <c r="J111" s="356"/>
      <c r="K111" s="357"/>
      <c r="L111" s="356"/>
      <c r="M111" s="356"/>
      <c r="N111" s="358">
        <v>10</v>
      </c>
      <c r="O111" s="359">
        <f t="shared" si="9"/>
        <v>8212</v>
      </c>
      <c r="P111" s="358"/>
      <c r="Q111" s="359"/>
      <c r="R111" s="358">
        <v>5</v>
      </c>
      <c r="S111" s="359">
        <f t="shared" si="10"/>
        <v>7495</v>
      </c>
      <c r="T111" s="359">
        <f t="shared" si="11"/>
        <v>3854</v>
      </c>
      <c r="U111" s="357"/>
      <c r="V111" s="356"/>
      <c r="W111" s="356"/>
      <c r="X111" s="356"/>
      <c r="Y111" s="360"/>
      <c r="Z111" s="360"/>
      <c r="AA111" s="360"/>
      <c r="AB111" s="360"/>
      <c r="AC111" s="360"/>
      <c r="AD111" s="360"/>
      <c r="AE111" s="360"/>
      <c r="AF111" s="360"/>
      <c r="AG111" s="360"/>
      <c r="AH111" s="360"/>
      <c r="AI111" s="360"/>
    </row>
    <row r="112" spans="1:35" x14ac:dyDescent="0.2">
      <c r="A112" s="353">
        <v>40631</v>
      </c>
      <c r="B112" s="354" t="s">
        <v>829</v>
      </c>
      <c r="C112" s="355"/>
      <c r="D112" s="356">
        <v>2.6</v>
      </c>
      <c r="E112" s="356">
        <f t="shared" si="6"/>
        <v>2128.5</v>
      </c>
      <c r="F112" s="356">
        <f t="shared" si="7"/>
        <v>4840.91</v>
      </c>
      <c r="G112" s="356">
        <f t="shared" si="8"/>
        <v>2001.4999999999995</v>
      </c>
      <c r="H112" s="357"/>
      <c r="I112" s="356"/>
      <c r="J112" s="356"/>
      <c r="K112" s="357"/>
      <c r="L112" s="356"/>
      <c r="M112" s="356"/>
      <c r="N112" s="358">
        <v>10</v>
      </c>
      <c r="O112" s="359">
        <f t="shared" si="9"/>
        <v>8222</v>
      </c>
      <c r="P112" s="358"/>
      <c r="Q112" s="359"/>
      <c r="R112" s="358">
        <v>7</v>
      </c>
      <c r="S112" s="359">
        <f t="shared" si="10"/>
        <v>7502</v>
      </c>
      <c r="T112" s="359">
        <f t="shared" si="11"/>
        <v>3861</v>
      </c>
      <c r="U112" s="357"/>
      <c r="V112" s="356"/>
      <c r="W112" s="356"/>
      <c r="X112" s="356"/>
      <c r="Y112" s="360"/>
      <c r="Z112" s="360"/>
      <c r="AA112" s="360"/>
      <c r="AB112" s="360"/>
      <c r="AC112" s="360"/>
      <c r="AD112" s="360"/>
      <c r="AE112" s="360"/>
      <c r="AF112" s="360"/>
      <c r="AG112" s="360"/>
      <c r="AH112" s="360"/>
      <c r="AI112" s="360"/>
    </row>
    <row r="113" spans="1:35" x14ac:dyDescent="0.2">
      <c r="A113" s="353">
        <v>40632</v>
      </c>
      <c r="B113" s="354"/>
      <c r="C113" s="355"/>
      <c r="D113" s="356"/>
      <c r="E113" s="356">
        <f t="shared" si="6"/>
        <v>2128.5</v>
      </c>
      <c r="F113" s="356">
        <f t="shared" si="7"/>
        <v>4840.91</v>
      </c>
      <c r="G113" s="356">
        <f t="shared" si="8"/>
        <v>2001.4999999999995</v>
      </c>
      <c r="H113" s="357"/>
      <c r="I113" s="356"/>
      <c r="J113" s="356"/>
      <c r="K113" s="357"/>
      <c r="L113" s="356"/>
      <c r="M113" s="356"/>
      <c r="N113" s="358"/>
      <c r="O113" s="359">
        <f t="shared" si="9"/>
        <v>8222</v>
      </c>
      <c r="P113" s="358"/>
      <c r="Q113" s="359"/>
      <c r="R113" s="358"/>
      <c r="S113" s="359">
        <f t="shared" si="10"/>
        <v>7502</v>
      </c>
      <c r="T113" s="359">
        <f t="shared" si="11"/>
        <v>3861</v>
      </c>
      <c r="U113" s="357"/>
      <c r="V113" s="356"/>
      <c r="W113" s="356"/>
      <c r="X113" s="356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</row>
    <row r="114" spans="1:35" x14ac:dyDescent="0.2">
      <c r="A114" s="353">
        <v>40633</v>
      </c>
      <c r="B114" s="354" t="s">
        <v>830</v>
      </c>
      <c r="C114" s="355"/>
      <c r="D114" s="356">
        <v>2</v>
      </c>
      <c r="E114" s="356">
        <f t="shared" si="6"/>
        <v>2130.5</v>
      </c>
      <c r="F114" s="356">
        <f t="shared" si="7"/>
        <v>4842.91</v>
      </c>
      <c r="G114" s="356">
        <f t="shared" si="8"/>
        <v>2003.4999999999995</v>
      </c>
      <c r="H114" s="357"/>
      <c r="I114" s="356"/>
      <c r="J114" s="356"/>
      <c r="K114" s="357"/>
      <c r="L114" s="356"/>
      <c r="M114" s="356"/>
      <c r="N114" s="358">
        <v>8</v>
      </c>
      <c r="O114" s="359">
        <f t="shared" si="9"/>
        <v>8230</v>
      </c>
      <c r="P114" s="358"/>
      <c r="Q114" s="359"/>
      <c r="R114" s="358">
        <v>5</v>
      </c>
      <c r="S114" s="359">
        <f t="shared" si="10"/>
        <v>7507</v>
      </c>
      <c r="T114" s="359">
        <f t="shared" si="11"/>
        <v>3866</v>
      </c>
      <c r="U114" s="357"/>
      <c r="V114" s="356"/>
      <c r="W114" s="356"/>
      <c r="X114" s="356"/>
      <c r="Y114" s="360"/>
      <c r="Z114" s="360"/>
      <c r="AA114" s="360"/>
      <c r="AB114" s="360"/>
      <c r="AC114" s="360"/>
      <c r="AD114" s="360"/>
      <c r="AE114" s="360"/>
      <c r="AF114" s="360"/>
      <c r="AG114" s="360"/>
      <c r="AH114" s="360"/>
      <c r="AI114" s="360"/>
    </row>
    <row r="115" spans="1:35" x14ac:dyDescent="0.2">
      <c r="A115" s="353">
        <v>40634</v>
      </c>
      <c r="B115" s="354" t="s">
        <v>831</v>
      </c>
      <c r="C115" s="355"/>
      <c r="D115" s="356">
        <v>1.6</v>
      </c>
      <c r="E115" s="356">
        <f t="shared" si="6"/>
        <v>2132.1</v>
      </c>
      <c r="F115" s="356">
        <f t="shared" si="7"/>
        <v>4844.51</v>
      </c>
      <c r="G115" s="356">
        <f t="shared" si="8"/>
        <v>2005.0999999999995</v>
      </c>
      <c r="H115" s="357"/>
      <c r="I115" s="356"/>
      <c r="J115" s="356"/>
      <c r="K115" s="357"/>
      <c r="L115" s="356"/>
      <c r="M115" s="356"/>
      <c r="N115" s="358">
        <v>5</v>
      </c>
      <c r="O115" s="359">
        <f t="shared" si="9"/>
        <v>8235</v>
      </c>
      <c r="P115" s="358"/>
      <c r="Q115" s="359"/>
      <c r="R115" s="358">
        <v>3</v>
      </c>
      <c r="S115" s="359">
        <f t="shared" si="10"/>
        <v>7510</v>
      </c>
      <c r="T115" s="359">
        <f t="shared" si="11"/>
        <v>3869</v>
      </c>
      <c r="U115" s="357"/>
      <c r="V115" s="356"/>
      <c r="W115" s="356"/>
      <c r="X115" s="356"/>
      <c r="Y115" s="360"/>
      <c r="Z115" s="360"/>
      <c r="AA115" s="360"/>
      <c r="AB115" s="360"/>
      <c r="AC115" s="360"/>
      <c r="AD115" s="360"/>
      <c r="AE115" s="360"/>
      <c r="AF115" s="360"/>
      <c r="AG115" s="360"/>
      <c r="AH115" s="360"/>
      <c r="AI115" s="360"/>
    </row>
    <row r="116" spans="1:35" x14ac:dyDescent="0.2">
      <c r="A116" s="353">
        <v>40635</v>
      </c>
      <c r="B116" s="354" t="s">
        <v>832</v>
      </c>
      <c r="C116" s="355"/>
      <c r="D116" s="356">
        <v>1.2</v>
      </c>
      <c r="E116" s="356">
        <f t="shared" si="6"/>
        <v>2133.2999999999997</v>
      </c>
      <c r="F116" s="356">
        <f t="shared" si="7"/>
        <v>4845.71</v>
      </c>
      <c r="G116" s="356">
        <f t="shared" si="8"/>
        <v>2006.2999999999995</v>
      </c>
      <c r="H116" s="357"/>
      <c r="I116" s="356"/>
      <c r="J116" s="356"/>
      <c r="K116" s="357"/>
      <c r="L116" s="356"/>
      <c r="M116" s="356"/>
      <c r="N116" s="358">
        <v>6</v>
      </c>
      <c r="O116" s="359">
        <f t="shared" si="9"/>
        <v>8241</v>
      </c>
      <c r="P116" s="358"/>
      <c r="Q116" s="359"/>
      <c r="R116" s="358">
        <v>4</v>
      </c>
      <c r="S116" s="359">
        <f t="shared" si="10"/>
        <v>7514</v>
      </c>
      <c r="T116" s="359">
        <f t="shared" si="11"/>
        <v>3873</v>
      </c>
      <c r="U116" s="357"/>
      <c r="V116" s="356"/>
      <c r="W116" s="356"/>
      <c r="X116" s="356"/>
      <c r="Y116" s="360"/>
      <c r="Z116" s="360"/>
      <c r="AA116" s="360"/>
      <c r="AB116" s="360"/>
      <c r="AC116" s="360"/>
      <c r="AD116" s="360"/>
      <c r="AE116" s="360"/>
      <c r="AF116" s="360"/>
      <c r="AG116" s="360"/>
      <c r="AH116" s="360"/>
      <c r="AI116" s="360"/>
    </row>
    <row r="117" spans="1:35" x14ac:dyDescent="0.2">
      <c r="A117" s="353">
        <v>40636</v>
      </c>
      <c r="B117" s="354"/>
      <c r="C117" s="355"/>
      <c r="D117" s="356"/>
      <c r="E117" s="356">
        <f t="shared" si="6"/>
        <v>2133.2999999999997</v>
      </c>
      <c r="F117" s="356">
        <f t="shared" si="7"/>
        <v>4845.71</v>
      </c>
      <c r="G117" s="356">
        <f t="shared" si="8"/>
        <v>2006.2999999999995</v>
      </c>
      <c r="H117" s="357"/>
      <c r="I117" s="356"/>
      <c r="J117" s="356"/>
      <c r="K117" s="357"/>
      <c r="L117" s="356"/>
      <c r="M117" s="356"/>
      <c r="N117" s="358"/>
      <c r="O117" s="359">
        <f t="shared" si="9"/>
        <v>8241</v>
      </c>
      <c r="P117" s="358"/>
      <c r="Q117" s="359"/>
      <c r="R117" s="358"/>
      <c r="S117" s="359">
        <f t="shared" si="10"/>
        <v>7514</v>
      </c>
      <c r="T117" s="359">
        <f t="shared" si="11"/>
        <v>3873</v>
      </c>
      <c r="U117" s="357"/>
      <c r="V117" s="356"/>
      <c r="W117" s="356"/>
      <c r="X117" s="356"/>
      <c r="Y117" s="360"/>
      <c r="Z117" s="360"/>
      <c r="AA117" s="360"/>
      <c r="AB117" s="360"/>
      <c r="AC117" s="360"/>
      <c r="AD117" s="360"/>
      <c r="AE117" s="360"/>
      <c r="AF117" s="360"/>
      <c r="AG117" s="360"/>
      <c r="AH117" s="360"/>
      <c r="AI117" s="360"/>
    </row>
    <row r="118" spans="1:35" x14ac:dyDescent="0.2">
      <c r="A118" s="353">
        <v>40637</v>
      </c>
      <c r="B118" s="354" t="s">
        <v>834</v>
      </c>
      <c r="C118" s="355"/>
      <c r="D118" s="356">
        <v>0.7</v>
      </c>
      <c r="E118" s="356">
        <f t="shared" si="6"/>
        <v>2133.9999999999995</v>
      </c>
      <c r="F118" s="356">
        <f t="shared" si="7"/>
        <v>4846.41</v>
      </c>
      <c r="G118" s="356">
        <f t="shared" si="8"/>
        <v>2006.9999999999995</v>
      </c>
      <c r="H118" s="357"/>
      <c r="I118" s="356"/>
      <c r="J118" s="356"/>
      <c r="K118" s="357"/>
      <c r="L118" s="356"/>
      <c r="M118" s="356"/>
      <c r="N118" s="358">
        <v>7</v>
      </c>
      <c r="O118" s="359">
        <f t="shared" si="9"/>
        <v>8248</v>
      </c>
      <c r="P118" s="358"/>
      <c r="Q118" s="359"/>
      <c r="R118" s="358">
        <v>5</v>
      </c>
      <c r="S118" s="359">
        <f t="shared" si="10"/>
        <v>7519</v>
      </c>
      <c r="T118" s="359">
        <f t="shared" si="11"/>
        <v>3878</v>
      </c>
      <c r="U118" s="357"/>
      <c r="V118" s="356"/>
      <c r="W118" s="356"/>
      <c r="X118" s="356"/>
      <c r="Y118" s="360"/>
      <c r="Z118" s="360"/>
      <c r="AA118" s="360"/>
      <c r="AB118" s="360"/>
      <c r="AC118" s="360"/>
      <c r="AD118" s="360"/>
      <c r="AE118" s="360"/>
      <c r="AF118" s="360"/>
      <c r="AG118" s="360"/>
      <c r="AH118" s="360"/>
      <c r="AI118" s="360"/>
    </row>
    <row r="119" spans="1:35" x14ac:dyDescent="0.2">
      <c r="A119" s="353">
        <v>40638</v>
      </c>
      <c r="B119" s="354" t="s">
        <v>835</v>
      </c>
      <c r="C119" s="355"/>
      <c r="D119" s="356">
        <v>1.6</v>
      </c>
      <c r="E119" s="356">
        <f t="shared" si="6"/>
        <v>2135.5999999999995</v>
      </c>
      <c r="F119" s="356">
        <f t="shared" si="7"/>
        <v>4848.01</v>
      </c>
      <c r="G119" s="356">
        <f t="shared" si="8"/>
        <v>2008.5999999999995</v>
      </c>
      <c r="H119" s="357"/>
      <c r="I119" s="356"/>
      <c r="J119" s="356"/>
      <c r="K119" s="357"/>
      <c r="L119" s="356"/>
      <c r="M119" s="356"/>
      <c r="N119" s="358">
        <v>5</v>
      </c>
      <c r="O119" s="359">
        <f t="shared" si="9"/>
        <v>8253</v>
      </c>
      <c r="P119" s="358"/>
      <c r="Q119" s="359"/>
      <c r="R119" s="358">
        <v>3</v>
      </c>
      <c r="S119" s="359">
        <f t="shared" si="10"/>
        <v>7522</v>
      </c>
      <c r="T119" s="359">
        <f t="shared" si="11"/>
        <v>3881</v>
      </c>
      <c r="U119" s="357"/>
      <c r="V119" s="356"/>
      <c r="W119" s="356"/>
      <c r="X119" s="356"/>
      <c r="Y119" s="360"/>
      <c r="Z119" s="360"/>
      <c r="AA119" s="360"/>
      <c r="AB119" s="360"/>
      <c r="AC119" s="360"/>
      <c r="AD119" s="360"/>
      <c r="AE119" s="360"/>
      <c r="AF119" s="360"/>
      <c r="AG119" s="360"/>
      <c r="AH119" s="360"/>
      <c r="AI119" s="360"/>
    </row>
    <row r="120" spans="1:35" x14ac:dyDescent="0.2">
      <c r="A120" s="353">
        <v>40639</v>
      </c>
      <c r="B120" s="354" t="s">
        <v>836</v>
      </c>
      <c r="C120" s="355"/>
      <c r="D120" s="356">
        <v>1.2</v>
      </c>
      <c r="E120" s="356">
        <f t="shared" si="6"/>
        <v>2136.7999999999993</v>
      </c>
      <c r="F120" s="356">
        <f t="shared" si="7"/>
        <v>4849.21</v>
      </c>
      <c r="G120" s="356">
        <f t="shared" si="8"/>
        <v>2009.7999999999995</v>
      </c>
      <c r="H120" s="357"/>
      <c r="I120" s="356"/>
      <c r="J120" s="356"/>
      <c r="K120" s="357"/>
      <c r="L120" s="356"/>
      <c r="M120" s="356"/>
      <c r="N120" s="358">
        <v>8</v>
      </c>
      <c r="O120" s="359">
        <f t="shared" si="9"/>
        <v>8261</v>
      </c>
      <c r="P120" s="358"/>
      <c r="Q120" s="359"/>
      <c r="R120" s="358">
        <v>5</v>
      </c>
      <c r="S120" s="359">
        <f t="shared" si="10"/>
        <v>7527</v>
      </c>
      <c r="T120" s="359">
        <f t="shared" si="11"/>
        <v>3886</v>
      </c>
      <c r="U120" s="357"/>
      <c r="V120" s="356"/>
      <c r="W120" s="356"/>
      <c r="X120" s="356"/>
      <c r="Y120" s="360"/>
      <c r="Z120" s="360"/>
      <c r="AA120" s="360"/>
      <c r="AB120" s="360"/>
      <c r="AC120" s="360"/>
      <c r="AD120" s="360"/>
      <c r="AE120" s="360"/>
      <c r="AF120" s="360"/>
      <c r="AG120" s="360"/>
      <c r="AH120" s="360"/>
      <c r="AI120" s="360"/>
    </row>
    <row r="121" spans="1:35" x14ac:dyDescent="0.2">
      <c r="A121" s="353">
        <v>40640</v>
      </c>
      <c r="B121" s="354" t="s">
        <v>837</v>
      </c>
      <c r="C121" s="355"/>
      <c r="D121" s="356">
        <v>0.8</v>
      </c>
      <c r="E121" s="356">
        <f t="shared" si="6"/>
        <v>2137.5999999999995</v>
      </c>
      <c r="F121" s="356">
        <f t="shared" si="7"/>
        <v>4850.01</v>
      </c>
      <c r="G121" s="356">
        <f t="shared" si="8"/>
        <v>2010.5999999999995</v>
      </c>
      <c r="H121" s="357"/>
      <c r="I121" s="356"/>
      <c r="J121" s="356"/>
      <c r="K121" s="357"/>
      <c r="L121" s="356"/>
      <c r="M121" s="356"/>
      <c r="N121" s="358">
        <v>4</v>
      </c>
      <c r="O121" s="359">
        <f t="shared" si="9"/>
        <v>8265</v>
      </c>
      <c r="P121" s="358"/>
      <c r="Q121" s="359"/>
      <c r="R121" s="358">
        <v>3</v>
      </c>
      <c r="S121" s="359">
        <f t="shared" si="10"/>
        <v>7530</v>
      </c>
      <c r="T121" s="359">
        <f t="shared" si="11"/>
        <v>3889</v>
      </c>
      <c r="U121" s="357"/>
      <c r="V121" s="356"/>
      <c r="W121" s="356"/>
      <c r="X121" s="356"/>
      <c r="Y121" s="360"/>
      <c r="Z121" s="360"/>
      <c r="AA121" s="360"/>
      <c r="AB121" s="360"/>
      <c r="AC121" s="360"/>
      <c r="AD121" s="360"/>
      <c r="AE121" s="360"/>
      <c r="AF121" s="360"/>
      <c r="AG121" s="360"/>
      <c r="AH121" s="360"/>
      <c r="AI121" s="360"/>
    </row>
    <row r="122" spans="1:35" x14ac:dyDescent="0.2">
      <c r="A122" s="353">
        <v>40641</v>
      </c>
      <c r="B122" s="354"/>
      <c r="C122" s="355"/>
      <c r="D122" s="356"/>
      <c r="E122" s="356">
        <f t="shared" si="6"/>
        <v>2137.5999999999995</v>
      </c>
      <c r="F122" s="356">
        <f t="shared" si="7"/>
        <v>4850.01</v>
      </c>
      <c r="G122" s="356">
        <f t="shared" si="8"/>
        <v>2010.5999999999995</v>
      </c>
      <c r="H122" s="357"/>
      <c r="I122" s="356"/>
      <c r="J122" s="356"/>
      <c r="K122" s="357"/>
      <c r="L122" s="356"/>
      <c r="M122" s="356"/>
      <c r="N122" s="358"/>
      <c r="O122" s="359">
        <f t="shared" si="9"/>
        <v>8265</v>
      </c>
      <c r="P122" s="358"/>
      <c r="Q122" s="359"/>
      <c r="R122" s="358"/>
      <c r="S122" s="359">
        <f t="shared" si="10"/>
        <v>7530</v>
      </c>
      <c r="T122" s="359">
        <f t="shared" si="11"/>
        <v>3889</v>
      </c>
      <c r="U122" s="357"/>
      <c r="V122" s="356"/>
      <c r="W122" s="356"/>
      <c r="X122" s="356"/>
      <c r="Y122" s="360"/>
      <c r="Z122" s="360"/>
      <c r="AA122" s="360"/>
      <c r="AB122" s="360"/>
      <c r="AC122" s="360"/>
      <c r="AD122" s="360"/>
      <c r="AE122" s="360"/>
      <c r="AF122" s="360"/>
      <c r="AG122" s="360"/>
      <c r="AH122" s="360"/>
      <c r="AI122" s="360"/>
    </row>
    <row r="123" spans="1:35" x14ac:dyDescent="0.2">
      <c r="A123" s="353">
        <v>40642</v>
      </c>
      <c r="B123" s="354"/>
      <c r="C123" s="355"/>
      <c r="D123" s="356"/>
      <c r="E123" s="356">
        <f t="shared" si="6"/>
        <v>2137.5999999999995</v>
      </c>
      <c r="F123" s="356">
        <f t="shared" si="7"/>
        <v>4850.01</v>
      </c>
      <c r="G123" s="356">
        <f t="shared" si="8"/>
        <v>2010.5999999999995</v>
      </c>
      <c r="H123" s="357"/>
      <c r="I123" s="356"/>
      <c r="J123" s="356"/>
      <c r="K123" s="357"/>
      <c r="L123" s="356"/>
      <c r="M123" s="356"/>
      <c r="N123" s="358"/>
      <c r="O123" s="359">
        <f t="shared" si="9"/>
        <v>8265</v>
      </c>
      <c r="P123" s="358"/>
      <c r="Q123" s="359"/>
      <c r="R123" s="358"/>
      <c r="S123" s="359">
        <f t="shared" si="10"/>
        <v>7530</v>
      </c>
      <c r="T123" s="359">
        <f t="shared" si="11"/>
        <v>3889</v>
      </c>
      <c r="U123" s="357"/>
      <c r="V123" s="356"/>
      <c r="W123" s="356"/>
      <c r="X123" s="356"/>
      <c r="Y123" s="360"/>
      <c r="Z123" s="360"/>
      <c r="AA123" s="360"/>
      <c r="AB123" s="360"/>
      <c r="AC123" s="360"/>
      <c r="AD123" s="360"/>
      <c r="AE123" s="360"/>
      <c r="AF123" s="360"/>
      <c r="AG123" s="360"/>
      <c r="AH123" s="360"/>
      <c r="AI123" s="360"/>
    </row>
    <row r="124" spans="1:35" x14ac:dyDescent="0.2">
      <c r="A124" s="353">
        <v>40643</v>
      </c>
      <c r="B124" s="354"/>
      <c r="C124" s="355"/>
      <c r="D124" s="356"/>
      <c r="E124" s="356">
        <f t="shared" si="6"/>
        <v>2137.5999999999995</v>
      </c>
      <c r="F124" s="356">
        <f t="shared" si="7"/>
        <v>4850.01</v>
      </c>
      <c r="G124" s="356">
        <f t="shared" si="8"/>
        <v>2010.5999999999995</v>
      </c>
      <c r="H124" s="357"/>
      <c r="I124" s="356"/>
      <c r="J124" s="356"/>
      <c r="K124" s="357"/>
      <c r="L124" s="356"/>
      <c r="M124" s="356"/>
      <c r="N124" s="358"/>
      <c r="O124" s="359">
        <f t="shared" si="9"/>
        <v>8265</v>
      </c>
      <c r="P124" s="358"/>
      <c r="Q124" s="359"/>
      <c r="R124" s="358"/>
      <c r="S124" s="359">
        <f t="shared" si="10"/>
        <v>7530</v>
      </c>
      <c r="T124" s="359">
        <f t="shared" si="11"/>
        <v>3889</v>
      </c>
      <c r="U124" s="357"/>
      <c r="V124" s="356"/>
      <c r="W124" s="356"/>
      <c r="X124" s="356"/>
      <c r="Y124" s="360"/>
      <c r="Z124" s="360"/>
      <c r="AA124" s="360"/>
      <c r="AB124" s="360"/>
      <c r="AC124" s="360"/>
      <c r="AD124" s="360"/>
      <c r="AE124" s="360"/>
      <c r="AF124" s="360"/>
      <c r="AG124" s="360"/>
      <c r="AH124" s="360"/>
      <c r="AI124" s="360"/>
    </row>
    <row r="125" spans="1:35" x14ac:dyDescent="0.2">
      <c r="A125" s="353">
        <v>40644</v>
      </c>
      <c r="B125" s="354"/>
      <c r="C125" s="355"/>
      <c r="D125" s="356"/>
      <c r="E125" s="356">
        <f t="shared" si="6"/>
        <v>2137.5999999999995</v>
      </c>
      <c r="F125" s="356">
        <f t="shared" si="7"/>
        <v>4850.01</v>
      </c>
      <c r="G125" s="356">
        <f t="shared" si="8"/>
        <v>2010.5999999999995</v>
      </c>
      <c r="H125" s="357"/>
      <c r="I125" s="356"/>
      <c r="J125" s="356"/>
      <c r="K125" s="357"/>
      <c r="L125" s="356"/>
      <c r="M125" s="356"/>
      <c r="N125" s="358"/>
      <c r="O125" s="359">
        <f t="shared" si="9"/>
        <v>8265</v>
      </c>
      <c r="P125" s="358"/>
      <c r="Q125" s="359"/>
      <c r="R125" s="358"/>
      <c r="S125" s="359">
        <f t="shared" si="10"/>
        <v>7530</v>
      </c>
      <c r="T125" s="359">
        <f t="shared" si="11"/>
        <v>3889</v>
      </c>
      <c r="U125" s="357"/>
      <c r="V125" s="356"/>
      <c r="W125" s="356"/>
      <c r="X125" s="356"/>
      <c r="Y125" s="360"/>
      <c r="Z125" s="360"/>
      <c r="AA125" s="360"/>
      <c r="AB125" s="360"/>
      <c r="AC125" s="360"/>
      <c r="AD125" s="360"/>
      <c r="AE125" s="360"/>
      <c r="AF125" s="360"/>
      <c r="AG125" s="360"/>
      <c r="AH125" s="360"/>
      <c r="AI125" s="360"/>
    </row>
    <row r="126" spans="1:35" x14ac:dyDescent="0.2">
      <c r="A126" s="353">
        <v>40645</v>
      </c>
      <c r="B126" s="354" t="s">
        <v>837</v>
      </c>
      <c r="C126" s="355"/>
      <c r="D126" s="356">
        <v>1.7</v>
      </c>
      <c r="E126" s="356">
        <f t="shared" si="6"/>
        <v>2139.2999999999993</v>
      </c>
      <c r="F126" s="356">
        <f t="shared" si="7"/>
        <v>4851.71</v>
      </c>
      <c r="G126" s="356">
        <f t="shared" si="8"/>
        <v>2012.2999999999995</v>
      </c>
      <c r="H126" s="357"/>
      <c r="I126" s="356"/>
      <c r="J126" s="356"/>
      <c r="K126" s="357"/>
      <c r="L126" s="356"/>
      <c r="M126" s="356"/>
      <c r="N126" s="358">
        <v>10</v>
      </c>
      <c r="O126" s="359">
        <f t="shared" si="9"/>
        <v>8275</v>
      </c>
      <c r="P126" s="358"/>
      <c r="Q126" s="359"/>
      <c r="R126" s="358">
        <v>3</v>
      </c>
      <c r="S126" s="359">
        <f t="shared" si="10"/>
        <v>7533</v>
      </c>
      <c r="T126" s="359">
        <f t="shared" si="11"/>
        <v>3892</v>
      </c>
      <c r="U126" s="357"/>
      <c r="V126" s="356"/>
      <c r="W126" s="356"/>
      <c r="X126" s="356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</row>
    <row r="127" spans="1:35" x14ac:dyDescent="0.2">
      <c r="A127" s="353">
        <v>40646</v>
      </c>
      <c r="B127" s="354" t="s">
        <v>838</v>
      </c>
      <c r="C127" s="355"/>
      <c r="D127" s="356">
        <v>0.9</v>
      </c>
      <c r="E127" s="356">
        <f t="shared" si="6"/>
        <v>2140.1999999999994</v>
      </c>
      <c r="F127" s="356">
        <f t="shared" si="7"/>
        <v>4852.6099999999997</v>
      </c>
      <c r="G127" s="356">
        <f t="shared" si="8"/>
        <v>2013.1999999999996</v>
      </c>
      <c r="H127" s="357"/>
      <c r="I127" s="356"/>
      <c r="J127" s="356"/>
      <c r="K127" s="357"/>
      <c r="L127" s="356"/>
      <c r="M127" s="356"/>
      <c r="N127" s="358">
        <v>4</v>
      </c>
      <c r="O127" s="359">
        <f t="shared" si="9"/>
        <v>8279</v>
      </c>
      <c r="P127" s="358"/>
      <c r="Q127" s="359"/>
      <c r="R127" s="358">
        <v>2</v>
      </c>
      <c r="S127" s="359">
        <f t="shared" si="10"/>
        <v>7535</v>
      </c>
      <c r="T127" s="359">
        <f t="shared" si="11"/>
        <v>3894</v>
      </c>
      <c r="U127" s="357"/>
      <c r="V127" s="356"/>
      <c r="W127" s="356"/>
      <c r="X127" s="356"/>
      <c r="Y127" s="360"/>
      <c r="Z127" s="360"/>
      <c r="AA127" s="360"/>
      <c r="AB127" s="360"/>
      <c r="AC127" s="360"/>
      <c r="AD127" s="360"/>
      <c r="AE127" s="360"/>
      <c r="AF127" s="360"/>
      <c r="AG127" s="360"/>
      <c r="AH127" s="360"/>
      <c r="AI127" s="360"/>
    </row>
    <row r="128" spans="1:35" x14ac:dyDescent="0.2">
      <c r="A128" s="353">
        <v>40647</v>
      </c>
      <c r="B128" s="354" t="s">
        <v>839</v>
      </c>
      <c r="C128" s="355"/>
      <c r="D128" s="356">
        <v>2.9</v>
      </c>
      <c r="E128" s="356">
        <f t="shared" si="6"/>
        <v>2143.0999999999995</v>
      </c>
      <c r="F128" s="356">
        <f t="shared" si="7"/>
        <v>4855.5099999999993</v>
      </c>
      <c r="G128" s="356">
        <f t="shared" si="8"/>
        <v>2016.0999999999997</v>
      </c>
      <c r="H128" s="357"/>
      <c r="I128" s="356"/>
      <c r="J128" s="356"/>
      <c r="K128" s="357"/>
      <c r="L128" s="356"/>
      <c r="M128" s="356"/>
      <c r="N128" s="358">
        <v>28</v>
      </c>
      <c r="O128" s="359">
        <f t="shared" si="9"/>
        <v>8307</v>
      </c>
      <c r="P128" s="358"/>
      <c r="Q128" s="359"/>
      <c r="R128" s="358">
        <v>10</v>
      </c>
      <c r="S128" s="359">
        <f t="shared" si="10"/>
        <v>7545</v>
      </c>
      <c r="T128" s="359">
        <f t="shared" si="11"/>
        <v>3904</v>
      </c>
      <c r="U128" s="357"/>
      <c r="V128" s="356"/>
      <c r="W128" s="356"/>
      <c r="X128" s="356"/>
      <c r="Y128" s="360"/>
      <c r="Z128" s="360"/>
      <c r="AA128" s="360"/>
      <c r="AB128" s="360"/>
      <c r="AC128" s="360"/>
      <c r="AD128" s="360"/>
      <c r="AE128" s="360"/>
      <c r="AF128" s="360"/>
      <c r="AG128" s="360"/>
      <c r="AH128" s="360"/>
      <c r="AI128" s="360"/>
    </row>
    <row r="129" spans="1:35" x14ac:dyDescent="0.2">
      <c r="A129" s="353">
        <v>40648</v>
      </c>
      <c r="B129" s="354" t="s">
        <v>840</v>
      </c>
      <c r="C129" s="355"/>
      <c r="D129" s="356">
        <v>2.7</v>
      </c>
      <c r="E129" s="356">
        <f t="shared" si="6"/>
        <v>2145.7999999999993</v>
      </c>
      <c r="F129" s="356">
        <f t="shared" si="7"/>
        <v>4858.2099999999991</v>
      </c>
      <c r="G129" s="356">
        <f t="shared" si="8"/>
        <v>2018.7999999999997</v>
      </c>
      <c r="H129" s="357"/>
      <c r="I129" s="356"/>
      <c r="J129" s="356"/>
      <c r="K129" s="357"/>
      <c r="L129" s="356"/>
      <c r="M129" s="356"/>
      <c r="N129" s="358">
        <v>16</v>
      </c>
      <c r="O129" s="359">
        <f t="shared" si="9"/>
        <v>8323</v>
      </c>
      <c r="P129" s="358"/>
      <c r="Q129" s="359"/>
      <c r="R129" s="358">
        <v>9</v>
      </c>
      <c r="S129" s="359">
        <f t="shared" si="10"/>
        <v>7554</v>
      </c>
      <c r="T129" s="359">
        <f t="shared" si="11"/>
        <v>3913</v>
      </c>
      <c r="U129" s="357"/>
      <c r="V129" s="356"/>
      <c r="W129" s="356"/>
      <c r="X129" s="356"/>
      <c r="Y129" s="360"/>
      <c r="Z129" s="360"/>
      <c r="AA129" s="360"/>
      <c r="AB129" s="360"/>
      <c r="AC129" s="360"/>
      <c r="AD129" s="360"/>
      <c r="AE129" s="360"/>
      <c r="AF129" s="360"/>
      <c r="AG129" s="360"/>
      <c r="AH129" s="360"/>
      <c r="AI129" s="360"/>
    </row>
    <row r="130" spans="1:35" x14ac:dyDescent="0.2">
      <c r="A130" s="353">
        <v>40649</v>
      </c>
      <c r="B130" s="354" t="s">
        <v>841</v>
      </c>
      <c r="C130" s="355"/>
      <c r="D130" s="356">
        <v>1</v>
      </c>
      <c r="E130" s="356">
        <f t="shared" si="6"/>
        <v>2146.7999999999993</v>
      </c>
      <c r="F130" s="356">
        <f t="shared" si="7"/>
        <v>4859.2099999999991</v>
      </c>
      <c r="G130" s="356">
        <f t="shared" si="8"/>
        <v>2019.7999999999997</v>
      </c>
      <c r="H130" s="357"/>
      <c r="I130" s="356"/>
      <c r="J130" s="356"/>
      <c r="K130" s="357"/>
      <c r="L130" s="356"/>
      <c r="M130" s="356"/>
      <c r="N130" s="358">
        <v>3</v>
      </c>
      <c r="O130" s="359">
        <f t="shared" si="9"/>
        <v>8326</v>
      </c>
      <c r="P130" s="358"/>
      <c r="Q130" s="359"/>
      <c r="R130" s="358">
        <v>4</v>
      </c>
      <c r="S130" s="359">
        <f t="shared" si="10"/>
        <v>7558</v>
      </c>
      <c r="T130" s="359">
        <f t="shared" si="11"/>
        <v>3917</v>
      </c>
      <c r="U130" s="357"/>
      <c r="V130" s="356"/>
      <c r="W130" s="356"/>
      <c r="X130" s="356"/>
      <c r="Y130" s="360"/>
      <c r="Z130" s="360"/>
      <c r="AA130" s="360"/>
      <c r="AB130" s="360"/>
      <c r="AC130" s="360"/>
      <c r="AD130" s="360"/>
      <c r="AE130" s="360"/>
      <c r="AF130" s="360"/>
      <c r="AG130" s="360"/>
      <c r="AH130" s="360"/>
      <c r="AI130" s="360"/>
    </row>
    <row r="131" spans="1:35" x14ac:dyDescent="0.2">
      <c r="A131" s="353">
        <v>40650</v>
      </c>
      <c r="B131" s="354" t="s">
        <v>842</v>
      </c>
      <c r="C131" s="355"/>
      <c r="D131" s="356">
        <v>1</v>
      </c>
      <c r="E131" s="356">
        <f t="shared" si="6"/>
        <v>2147.7999999999993</v>
      </c>
      <c r="F131" s="356">
        <f t="shared" si="7"/>
        <v>4860.2099999999991</v>
      </c>
      <c r="G131" s="356">
        <f t="shared" si="8"/>
        <v>2020.7999999999997</v>
      </c>
      <c r="H131" s="357"/>
      <c r="I131" s="356"/>
      <c r="J131" s="356"/>
      <c r="K131" s="357"/>
      <c r="L131" s="356"/>
      <c r="M131" s="356"/>
      <c r="N131" s="358">
        <v>4</v>
      </c>
      <c r="O131" s="359">
        <f t="shared" si="9"/>
        <v>8330</v>
      </c>
      <c r="P131" s="358"/>
      <c r="Q131" s="359"/>
      <c r="R131" s="358">
        <v>3</v>
      </c>
      <c r="S131" s="359">
        <f t="shared" si="10"/>
        <v>7561</v>
      </c>
      <c r="T131" s="359">
        <f t="shared" si="11"/>
        <v>3920</v>
      </c>
      <c r="U131" s="357"/>
      <c r="V131" s="356"/>
      <c r="W131" s="356"/>
      <c r="X131" s="356"/>
      <c r="Y131" s="360"/>
      <c r="Z131" s="360"/>
      <c r="AA131" s="360"/>
      <c r="AB131" s="360"/>
      <c r="AC131" s="360"/>
      <c r="AD131" s="360"/>
      <c r="AE131" s="360"/>
      <c r="AF131" s="360"/>
      <c r="AG131" s="360"/>
      <c r="AH131" s="360"/>
      <c r="AI131" s="360"/>
    </row>
    <row r="132" spans="1:35" x14ac:dyDescent="0.2">
      <c r="A132" s="353">
        <v>40651</v>
      </c>
      <c r="B132" s="354" t="s">
        <v>843</v>
      </c>
      <c r="C132" s="355"/>
      <c r="D132" s="356">
        <v>0.4</v>
      </c>
      <c r="E132" s="356">
        <f t="shared" si="6"/>
        <v>2148.1999999999994</v>
      </c>
      <c r="F132" s="356">
        <f t="shared" si="7"/>
        <v>4860.6099999999988</v>
      </c>
      <c r="G132" s="356">
        <f t="shared" si="8"/>
        <v>2021.1999999999998</v>
      </c>
      <c r="H132" s="357"/>
      <c r="I132" s="356"/>
      <c r="J132" s="356"/>
      <c r="K132" s="357"/>
      <c r="L132" s="356"/>
      <c r="M132" s="356"/>
      <c r="N132" s="358">
        <v>2</v>
      </c>
      <c r="O132" s="359">
        <f t="shared" si="9"/>
        <v>8332</v>
      </c>
      <c r="P132" s="358"/>
      <c r="Q132" s="359"/>
      <c r="R132" s="358">
        <v>2</v>
      </c>
      <c r="S132" s="359">
        <f t="shared" si="10"/>
        <v>7563</v>
      </c>
      <c r="T132" s="359">
        <f t="shared" si="11"/>
        <v>3922</v>
      </c>
      <c r="U132" s="357"/>
      <c r="V132" s="356"/>
      <c r="W132" s="356"/>
      <c r="X132" s="356"/>
      <c r="Y132" s="360"/>
      <c r="Z132" s="360"/>
      <c r="AA132" s="360"/>
      <c r="AB132" s="360"/>
      <c r="AC132" s="360"/>
      <c r="AD132" s="360"/>
      <c r="AE132" s="360"/>
      <c r="AF132" s="360"/>
      <c r="AG132" s="360"/>
      <c r="AH132" s="360"/>
      <c r="AI132" s="360"/>
    </row>
    <row r="133" spans="1:35" x14ac:dyDescent="0.2">
      <c r="A133" s="353">
        <v>40652</v>
      </c>
      <c r="B133" s="354" t="s">
        <v>844</v>
      </c>
      <c r="C133" s="355"/>
      <c r="D133" s="356">
        <v>1.2</v>
      </c>
      <c r="E133" s="356">
        <f t="shared" si="6"/>
        <v>2149.3999999999992</v>
      </c>
      <c r="F133" s="356">
        <f t="shared" si="7"/>
        <v>4861.8099999999986</v>
      </c>
      <c r="G133" s="356">
        <f t="shared" si="8"/>
        <v>2022.3999999999999</v>
      </c>
      <c r="H133" s="357"/>
      <c r="I133" s="356"/>
      <c r="J133" s="356"/>
      <c r="K133" s="357"/>
      <c r="L133" s="356"/>
      <c r="M133" s="356"/>
      <c r="N133" s="358">
        <v>8</v>
      </c>
      <c r="O133" s="359">
        <f t="shared" si="9"/>
        <v>8340</v>
      </c>
      <c r="P133" s="358"/>
      <c r="Q133" s="359"/>
      <c r="R133" s="358">
        <v>3</v>
      </c>
      <c r="S133" s="359">
        <f t="shared" si="10"/>
        <v>7566</v>
      </c>
      <c r="T133" s="359">
        <f t="shared" si="11"/>
        <v>3925</v>
      </c>
      <c r="U133" s="357"/>
      <c r="V133" s="356"/>
      <c r="W133" s="356"/>
      <c r="X133" s="356"/>
      <c r="Y133" s="360"/>
      <c r="Z133" s="360"/>
      <c r="AA133" s="360"/>
      <c r="AB133" s="360"/>
      <c r="AC133" s="360"/>
      <c r="AD133" s="360"/>
      <c r="AE133" s="360"/>
      <c r="AF133" s="360"/>
      <c r="AG133" s="360"/>
      <c r="AH133" s="360"/>
      <c r="AI133" s="360"/>
    </row>
    <row r="134" spans="1:35" x14ac:dyDescent="0.2">
      <c r="A134" s="353">
        <v>40653</v>
      </c>
      <c r="B134" s="354"/>
      <c r="C134" s="355"/>
      <c r="D134" s="356"/>
      <c r="E134" s="356">
        <f t="shared" si="6"/>
        <v>2149.3999999999992</v>
      </c>
      <c r="F134" s="356">
        <f t="shared" si="7"/>
        <v>4861.8099999999986</v>
      </c>
      <c r="G134" s="356">
        <f t="shared" si="8"/>
        <v>2022.3999999999999</v>
      </c>
      <c r="H134" s="357"/>
      <c r="I134" s="356"/>
      <c r="J134" s="356"/>
      <c r="K134" s="357"/>
      <c r="L134" s="356"/>
      <c r="M134" s="356"/>
      <c r="N134" s="358"/>
      <c r="O134" s="359">
        <f t="shared" si="9"/>
        <v>8340</v>
      </c>
      <c r="P134" s="358"/>
      <c r="Q134" s="359"/>
      <c r="R134" s="358"/>
      <c r="S134" s="359">
        <f t="shared" si="10"/>
        <v>7566</v>
      </c>
      <c r="T134" s="359">
        <f t="shared" si="11"/>
        <v>3925</v>
      </c>
      <c r="U134" s="357"/>
      <c r="V134" s="356"/>
      <c r="W134" s="356"/>
      <c r="X134" s="356"/>
      <c r="Y134" s="360"/>
      <c r="Z134" s="360"/>
      <c r="AA134" s="360"/>
      <c r="AB134" s="360"/>
      <c r="AC134" s="360"/>
      <c r="AD134" s="360"/>
      <c r="AE134" s="360"/>
      <c r="AF134" s="360"/>
      <c r="AG134" s="360"/>
      <c r="AH134" s="360"/>
      <c r="AI134" s="360"/>
    </row>
    <row r="135" spans="1:35" x14ac:dyDescent="0.2">
      <c r="A135" s="353">
        <v>40654</v>
      </c>
      <c r="B135" s="354"/>
      <c r="C135" s="355"/>
      <c r="D135" s="356"/>
      <c r="E135" s="356">
        <f t="shared" si="6"/>
        <v>2149.3999999999992</v>
      </c>
      <c r="F135" s="356">
        <f t="shared" si="7"/>
        <v>4861.8099999999986</v>
      </c>
      <c r="G135" s="356">
        <f t="shared" si="8"/>
        <v>2022.3999999999999</v>
      </c>
      <c r="H135" s="357"/>
      <c r="I135" s="356"/>
      <c r="J135" s="356"/>
      <c r="K135" s="357"/>
      <c r="L135" s="356"/>
      <c r="M135" s="356"/>
      <c r="N135" s="358"/>
      <c r="O135" s="359">
        <f t="shared" si="9"/>
        <v>8340</v>
      </c>
      <c r="P135" s="358"/>
      <c r="Q135" s="359"/>
      <c r="R135" s="358"/>
      <c r="S135" s="359">
        <f t="shared" si="10"/>
        <v>7566</v>
      </c>
      <c r="T135" s="359">
        <f t="shared" si="11"/>
        <v>3925</v>
      </c>
      <c r="U135" s="357"/>
      <c r="V135" s="356"/>
      <c r="W135" s="356"/>
      <c r="X135" s="356"/>
      <c r="Y135" s="360"/>
      <c r="Z135" s="360"/>
      <c r="AA135" s="360"/>
      <c r="AB135" s="360"/>
      <c r="AC135" s="360"/>
      <c r="AD135" s="360"/>
      <c r="AE135" s="360"/>
      <c r="AF135" s="360"/>
      <c r="AG135" s="360"/>
      <c r="AH135" s="360"/>
      <c r="AI135" s="360"/>
    </row>
    <row r="136" spans="1:35" x14ac:dyDescent="0.2">
      <c r="A136" s="353">
        <v>40655</v>
      </c>
      <c r="B136" s="354"/>
      <c r="C136" s="355"/>
      <c r="D136" s="356"/>
      <c r="E136" s="356">
        <f t="shared" ref="E136:E166" si="12">E135+D136</f>
        <v>2149.3999999999992</v>
      </c>
      <c r="F136" s="356">
        <f t="shared" si="7"/>
        <v>4861.8099999999986</v>
      </c>
      <c r="G136" s="356">
        <f t="shared" si="8"/>
        <v>2022.3999999999999</v>
      </c>
      <c r="H136" s="357"/>
      <c r="I136" s="356"/>
      <c r="J136" s="356"/>
      <c r="K136" s="357"/>
      <c r="L136" s="356"/>
      <c r="M136" s="356"/>
      <c r="N136" s="358"/>
      <c r="O136" s="359">
        <f t="shared" ref="O136:O166" si="13">O135+N136</f>
        <v>8340</v>
      </c>
      <c r="P136" s="358"/>
      <c r="Q136" s="359"/>
      <c r="R136" s="358"/>
      <c r="S136" s="359">
        <f t="shared" ref="S136:S166" si="14">S135+R136</f>
        <v>7566</v>
      </c>
      <c r="T136" s="359">
        <f t="shared" si="11"/>
        <v>3925</v>
      </c>
      <c r="U136" s="357"/>
      <c r="V136" s="356"/>
      <c r="W136" s="356"/>
      <c r="X136" s="356"/>
      <c r="Y136" s="360"/>
      <c r="Z136" s="360"/>
      <c r="AA136" s="360"/>
      <c r="AB136" s="360"/>
      <c r="AC136" s="360"/>
      <c r="AD136" s="360"/>
      <c r="AE136" s="360"/>
      <c r="AF136" s="360"/>
      <c r="AG136" s="360"/>
      <c r="AH136" s="360"/>
      <c r="AI136" s="360"/>
    </row>
    <row r="137" spans="1:35" x14ac:dyDescent="0.2">
      <c r="A137" s="353">
        <v>40656</v>
      </c>
      <c r="B137" s="354"/>
      <c r="C137" s="355"/>
      <c r="D137" s="356"/>
      <c r="E137" s="356">
        <f t="shared" si="12"/>
        <v>2149.3999999999992</v>
      </c>
      <c r="F137" s="356">
        <f t="shared" si="7"/>
        <v>4861.8099999999986</v>
      </c>
      <c r="G137" s="356">
        <f t="shared" si="8"/>
        <v>2022.3999999999999</v>
      </c>
      <c r="H137" s="357"/>
      <c r="I137" s="356"/>
      <c r="J137" s="356"/>
      <c r="K137" s="357"/>
      <c r="L137" s="356"/>
      <c r="M137" s="356"/>
      <c r="N137" s="358"/>
      <c r="O137" s="359">
        <f t="shared" si="13"/>
        <v>8340</v>
      </c>
      <c r="P137" s="358"/>
      <c r="Q137" s="359"/>
      <c r="R137" s="358"/>
      <c r="S137" s="359">
        <f t="shared" si="14"/>
        <v>7566</v>
      </c>
      <c r="T137" s="359">
        <f t="shared" si="11"/>
        <v>3925</v>
      </c>
      <c r="U137" s="357"/>
      <c r="V137" s="356"/>
      <c r="W137" s="356"/>
      <c r="X137" s="356"/>
      <c r="Y137" s="360"/>
      <c r="Z137" s="360"/>
      <c r="AA137" s="360"/>
      <c r="AB137" s="360"/>
      <c r="AC137" s="360"/>
      <c r="AD137" s="360"/>
      <c r="AE137" s="360"/>
      <c r="AF137" s="360"/>
      <c r="AG137" s="360"/>
      <c r="AH137" s="360"/>
      <c r="AI137" s="360"/>
    </row>
    <row r="138" spans="1:35" x14ac:dyDescent="0.2">
      <c r="A138" s="353">
        <v>40657</v>
      </c>
      <c r="B138" s="354"/>
      <c r="C138" s="355"/>
      <c r="D138" s="356"/>
      <c r="E138" s="356">
        <f t="shared" si="12"/>
        <v>2149.3999999999992</v>
      </c>
      <c r="F138" s="356">
        <f t="shared" si="7"/>
        <v>4861.8099999999986</v>
      </c>
      <c r="G138" s="356">
        <f t="shared" si="8"/>
        <v>2022.3999999999999</v>
      </c>
      <c r="H138" s="357"/>
      <c r="I138" s="356"/>
      <c r="J138" s="356"/>
      <c r="K138" s="357"/>
      <c r="L138" s="356"/>
      <c r="M138" s="356"/>
      <c r="N138" s="358"/>
      <c r="O138" s="359">
        <f t="shared" si="13"/>
        <v>8340</v>
      </c>
      <c r="P138" s="358"/>
      <c r="Q138" s="359"/>
      <c r="R138" s="358"/>
      <c r="S138" s="359">
        <f t="shared" si="14"/>
        <v>7566</v>
      </c>
      <c r="T138" s="359">
        <f t="shared" si="11"/>
        <v>3925</v>
      </c>
      <c r="U138" s="357"/>
      <c r="V138" s="356"/>
      <c r="W138" s="356"/>
      <c r="X138" s="356"/>
      <c r="Y138" s="360"/>
      <c r="Z138" s="360"/>
      <c r="AA138" s="360"/>
      <c r="AB138" s="360"/>
      <c r="AC138" s="360"/>
      <c r="AD138" s="360"/>
      <c r="AE138" s="360"/>
      <c r="AF138" s="360"/>
      <c r="AG138" s="360"/>
      <c r="AH138" s="360"/>
      <c r="AI138" s="360"/>
    </row>
    <row r="139" spans="1:35" x14ac:dyDescent="0.2">
      <c r="A139" s="353">
        <v>40658</v>
      </c>
      <c r="B139" s="354"/>
      <c r="C139" s="355"/>
      <c r="D139" s="356"/>
      <c r="E139" s="356">
        <f t="shared" si="12"/>
        <v>2149.3999999999992</v>
      </c>
      <c r="F139" s="356">
        <f t="shared" ref="F139:F166" si="15">F138+D139</f>
        <v>4861.8099999999986</v>
      </c>
      <c r="G139" s="356">
        <f t="shared" ref="G139:G166" si="16">G138+D139</f>
        <v>2022.3999999999999</v>
      </c>
      <c r="H139" s="357"/>
      <c r="I139" s="356"/>
      <c r="J139" s="356"/>
      <c r="K139" s="357"/>
      <c r="L139" s="356"/>
      <c r="M139" s="356"/>
      <c r="N139" s="358"/>
      <c r="O139" s="359">
        <f t="shared" si="13"/>
        <v>8340</v>
      </c>
      <c r="P139" s="358"/>
      <c r="Q139" s="359"/>
      <c r="R139" s="358"/>
      <c r="S139" s="359">
        <f t="shared" si="14"/>
        <v>7566</v>
      </c>
      <c r="T139" s="359">
        <f t="shared" ref="T139:T166" si="17">T138+R139</f>
        <v>3925</v>
      </c>
      <c r="U139" s="357"/>
      <c r="V139" s="356"/>
      <c r="W139" s="356"/>
      <c r="X139" s="356"/>
      <c r="Y139" s="360"/>
      <c r="Z139" s="360"/>
      <c r="AA139" s="360"/>
      <c r="AB139" s="360"/>
      <c r="AC139" s="360"/>
      <c r="AD139" s="360"/>
      <c r="AE139" s="360"/>
      <c r="AF139" s="360"/>
      <c r="AG139" s="360"/>
      <c r="AH139" s="360"/>
      <c r="AI139" s="360"/>
    </row>
    <row r="140" spans="1:35" x14ac:dyDescent="0.2">
      <c r="A140" s="353">
        <v>40659</v>
      </c>
      <c r="B140" s="354"/>
      <c r="C140" s="355"/>
      <c r="D140" s="356"/>
      <c r="E140" s="356">
        <f t="shared" si="12"/>
        <v>2149.3999999999992</v>
      </c>
      <c r="F140" s="356">
        <f t="shared" si="15"/>
        <v>4861.8099999999986</v>
      </c>
      <c r="G140" s="356">
        <f t="shared" si="16"/>
        <v>2022.3999999999999</v>
      </c>
      <c r="H140" s="357"/>
      <c r="I140" s="356"/>
      <c r="J140" s="356"/>
      <c r="K140" s="357"/>
      <c r="L140" s="356"/>
      <c r="M140" s="356"/>
      <c r="N140" s="358"/>
      <c r="O140" s="359">
        <f t="shared" si="13"/>
        <v>8340</v>
      </c>
      <c r="P140" s="358"/>
      <c r="Q140" s="359"/>
      <c r="R140" s="358"/>
      <c r="S140" s="359">
        <f t="shared" si="14"/>
        <v>7566</v>
      </c>
      <c r="T140" s="359">
        <f t="shared" si="17"/>
        <v>3925</v>
      </c>
      <c r="U140" s="357"/>
      <c r="V140" s="356"/>
      <c r="W140" s="356"/>
      <c r="X140" s="356"/>
      <c r="Y140" s="360"/>
      <c r="Z140" s="360"/>
      <c r="AA140" s="360"/>
      <c r="AB140" s="360"/>
      <c r="AC140" s="360"/>
      <c r="AD140" s="360"/>
      <c r="AE140" s="360"/>
      <c r="AF140" s="360"/>
      <c r="AG140" s="360"/>
      <c r="AH140" s="360"/>
      <c r="AI140" s="360"/>
    </row>
    <row r="141" spans="1:35" x14ac:dyDescent="0.2">
      <c r="A141" s="353">
        <v>40660</v>
      </c>
      <c r="B141" s="354"/>
      <c r="C141" s="355"/>
      <c r="D141" s="356"/>
      <c r="E141" s="356">
        <f t="shared" si="12"/>
        <v>2149.3999999999992</v>
      </c>
      <c r="F141" s="356">
        <f t="shared" si="15"/>
        <v>4861.8099999999986</v>
      </c>
      <c r="G141" s="356">
        <f t="shared" si="16"/>
        <v>2022.3999999999999</v>
      </c>
      <c r="H141" s="357"/>
      <c r="I141" s="356"/>
      <c r="J141" s="356"/>
      <c r="K141" s="357"/>
      <c r="L141" s="356"/>
      <c r="M141" s="356"/>
      <c r="N141" s="358"/>
      <c r="O141" s="359">
        <f t="shared" si="13"/>
        <v>8340</v>
      </c>
      <c r="P141" s="358"/>
      <c r="Q141" s="359"/>
      <c r="R141" s="358"/>
      <c r="S141" s="359">
        <f t="shared" si="14"/>
        <v>7566</v>
      </c>
      <c r="T141" s="359">
        <f t="shared" si="17"/>
        <v>3925</v>
      </c>
      <c r="U141" s="357"/>
      <c r="V141" s="356"/>
      <c r="W141" s="356"/>
      <c r="X141" s="356"/>
      <c r="Y141" s="360"/>
      <c r="Z141" s="360"/>
      <c r="AA141" s="360"/>
      <c r="AB141" s="360"/>
      <c r="AC141" s="360"/>
      <c r="AD141" s="360"/>
      <c r="AE141" s="360"/>
      <c r="AF141" s="360"/>
      <c r="AG141" s="360"/>
      <c r="AH141" s="360"/>
      <c r="AI141" s="360"/>
    </row>
    <row r="142" spans="1:35" x14ac:dyDescent="0.2">
      <c r="A142" s="353">
        <v>40661</v>
      </c>
      <c r="B142" s="354" t="s">
        <v>845</v>
      </c>
      <c r="C142" s="355"/>
      <c r="D142" s="356">
        <v>1.1000000000000001</v>
      </c>
      <c r="E142" s="356">
        <f t="shared" si="12"/>
        <v>2150.4999999999991</v>
      </c>
      <c r="F142" s="356">
        <f t="shared" si="15"/>
        <v>4862.9099999999989</v>
      </c>
      <c r="G142" s="356">
        <f t="shared" si="16"/>
        <v>2023.4999999999998</v>
      </c>
      <c r="H142" s="357"/>
      <c r="I142" s="356"/>
      <c r="J142" s="356"/>
      <c r="K142" s="357"/>
      <c r="L142" s="356"/>
      <c r="M142" s="356"/>
      <c r="N142" s="358">
        <v>8</v>
      </c>
      <c r="O142" s="359">
        <f t="shared" si="13"/>
        <v>8348</v>
      </c>
      <c r="P142" s="358"/>
      <c r="Q142" s="359"/>
      <c r="R142" s="358">
        <v>5</v>
      </c>
      <c r="S142" s="359">
        <f t="shared" si="14"/>
        <v>7571</v>
      </c>
      <c r="T142" s="359">
        <f t="shared" si="17"/>
        <v>3930</v>
      </c>
      <c r="U142" s="357"/>
      <c r="V142" s="356"/>
      <c r="W142" s="356"/>
      <c r="X142" s="356"/>
      <c r="Y142" s="360"/>
      <c r="Z142" s="360"/>
      <c r="AA142" s="360"/>
      <c r="AB142" s="360"/>
      <c r="AC142" s="360"/>
      <c r="AD142" s="360"/>
      <c r="AE142" s="360"/>
      <c r="AF142" s="360"/>
      <c r="AG142" s="360"/>
      <c r="AH142" s="360"/>
      <c r="AI142" s="360"/>
    </row>
    <row r="143" spans="1:35" x14ac:dyDescent="0.2">
      <c r="A143" s="353">
        <v>40662</v>
      </c>
      <c r="B143" s="354" t="s">
        <v>846</v>
      </c>
      <c r="C143" s="355"/>
      <c r="D143" s="356">
        <v>1</v>
      </c>
      <c r="E143" s="356">
        <f t="shared" si="12"/>
        <v>2151.4999999999991</v>
      </c>
      <c r="F143" s="356">
        <f t="shared" si="15"/>
        <v>4863.9099999999989</v>
      </c>
      <c r="G143" s="356">
        <f t="shared" si="16"/>
        <v>2024.4999999999998</v>
      </c>
      <c r="H143" s="357"/>
      <c r="I143" s="356"/>
      <c r="J143" s="356"/>
      <c r="K143" s="357"/>
      <c r="L143" s="356"/>
      <c r="M143" s="356"/>
      <c r="N143" s="358">
        <v>1</v>
      </c>
      <c r="O143" s="359">
        <f t="shared" si="13"/>
        <v>8349</v>
      </c>
      <c r="P143" s="358"/>
      <c r="Q143" s="359"/>
      <c r="R143" s="358">
        <v>1</v>
      </c>
      <c r="S143" s="359">
        <f t="shared" si="14"/>
        <v>7572</v>
      </c>
      <c r="T143" s="359">
        <f t="shared" si="17"/>
        <v>3931</v>
      </c>
      <c r="U143" s="357"/>
      <c r="V143" s="356"/>
      <c r="W143" s="356"/>
      <c r="X143" s="356"/>
      <c r="Y143" s="360"/>
      <c r="Z143" s="360"/>
      <c r="AA143" s="360"/>
      <c r="AB143" s="360"/>
      <c r="AC143" s="360"/>
      <c r="AD143" s="360"/>
      <c r="AE143" s="360"/>
      <c r="AF143" s="360"/>
      <c r="AG143" s="360"/>
      <c r="AH143" s="360"/>
      <c r="AI143" s="360"/>
    </row>
    <row r="144" spans="1:35" x14ac:dyDescent="0.2">
      <c r="A144" s="353">
        <v>40663</v>
      </c>
      <c r="B144" s="354"/>
      <c r="C144" s="355"/>
      <c r="D144" s="356"/>
      <c r="E144" s="356">
        <f t="shared" si="12"/>
        <v>2151.4999999999991</v>
      </c>
      <c r="F144" s="356">
        <f t="shared" si="15"/>
        <v>4863.9099999999989</v>
      </c>
      <c r="G144" s="356">
        <f t="shared" si="16"/>
        <v>2024.4999999999998</v>
      </c>
      <c r="H144" s="357"/>
      <c r="I144" s="356"/>
      <c r="J144" s="356"/>
      <c r="K144" s="357"/>
      <c r="L144" s="356"/>
      <c r="M144" s="356"/>
      <c r="N144" s="358"/>
      <c r="O144" s="359">
        <f t="shared" si="13"/>
        <v>8349</v>
      </c>
      <c r="P144" s="358"/>
      <c r="Q144" s="359"/>
      <c r="R144" s="358"/>
      <c r="S144" s="359">
        <f t="shared" si="14"/>
        <v>7572</v>
      </c>
      <c r="T144" s="359">
        <f t="shared" si="17"/>
        <v>3931</v>
      </c>
      <c r="U144" s="357"/>
      <c r="V144" s="356"/>
      <c r="W144" s="356"/>
      <c r="X144" s="356"/>
      <c r="Y144" s="360"/>
      <c r="Z144" s="360"/>
      <c r="AA144" s="360"/>
      <c r="AB144" s="360"/>
      <c r="AC144" s="360"/>
      <c r="AD144" s="360"/>
      <c r="AE144" s="360"/>
      <c r="AF144" s="360"/>
      <c r="AG144" s="360"/>
      <c r="AH144" s="360"/>
      <c r="AI144" s="360"/>
    </row>
    <row r="145" spans="1:35" x14ac:dyDescent="0.2">
      <c r="A145" s="353">
        <v>40664</v>
      </c>
      <c r="B145" s="354"/>
      <c r="C145" s="355"/>
      <c r="D145" s="356"/>
      <c r="E145" s="356">
        <f t="shared" si="12"/>
        <v>2151.4999999999991</v>
      </c>
      <c r="F145" s="356">
        <f t="shared" si="15"/>
        <v>4863.9099999999989</v>
      </c>
      <c r="G145" s="356">
        <f t="shared" si="16"/>
        <v>2024.4999999999998</v>
      </c>
      <c r="H145" s="357"/>
      <c r="I145" s="356"/>
      <c r="J145" s="356"/>
      <c r="K145" s="357"/>
      <c r="L145" s="356"/>
      <c r="M145" s="356"/>
      <c r="N145" s="358"/>
      <c r="O145" s="359">
        <f t="shared" si="13"/>
        <v>8349</v>
      </c>
      <c r="P145" s="358"/>
      <c r="Q145" s="359"/>
      <c r="R145" s="358"/>
      <c r="S145" s="359">
        <f t="shared" si="14"/>
        <v>7572</v>
      </c>
      <c r="T145" s="359">
        <f t="shared" si="17"/>
        <v>3931</v>
      </c>
      <c r="U145" s="357"/>
      <c r="V145" s="356"/>
      <c r="W145" s="356"/>
      <c r="X145" s="356"/>
      <c r="Y145" s="360"/>
      <c r="Z145" s="360"/>
      <c r="AA145" s="360"/>
      <c r="AB145" s="360"/>
      <c r="AC145" s="360"/>
      <c r="AD145" s="360"/>
      <c r="AE145" s="360"/>
      <c r="AF145" s="360"/>
      <c r="AG145" s="360"/>
      <c r="AH145" s="360"/>
      <c r="AI145" s="360"/>
    </row>
    <row r="146" spans="1:35" x14ac:dyDescent="0.2">
      <c r="A146" s="353">
        <v>40665</v>
      </c>
      <c r="B146" s="354"/>
      <c r="C146" s="355"/>
      <c r="D146" s="356"/>
      <c r="E146" s="356">
        <f t="shared" si="12"/>
        <v>2151.4999999999991</v>
      </c>
      <c r="F146" s="356">
        <f t="shared" si="15"/>
        <v>4863.9099999999989</v>
      </c>
      <c r="G146" s="356">
        <f t="shared" si="16"/>
        <v>2024.4999999999998</v>
      </c>
      <c r="H146" s="357"/>
      <c r="I146" s="356"/>
      <c r="J146" s="356"/>
      <c r="K146" s="357"/>
      <c r="L146" s="356"/>
      <c r="M146" s="356"/>
      <c r="N146" s="358"/>
      <c r="O146" s="359">
        <f t="shared" si="13"/>
        <v>8349</v>
      </c>
      <c r="P146" s="358"/>
      <c r="Q146" s="359"/>
      <c r="R146" s="358"/>
      <c r="S146" s="359">
        <f t="shared" si="14"/>
        <v>7572</v>
      </c>
      <c r="T146" s="359">
        <f t="shared" si="17"/>
        <v>3931</v>
      </c>
      <c r="U146" s="357"/>
      <c r="V146" s="356"/>
      <c r="W146" s="356"/>
      <c r="X146" s="356"/>
      <c r="Y146" s="360"/>
      <c r="Z146" s="360"/>
      <c r="AA146" s="360"/>
      <c r="AB146" s="360"/>
      <c r="AC146" s="360"/>
      <c r="AD146" s="360"/>
      <c r="AE146" s="360"/>
      <c r="AF146" s="360"/>
      <c r="AG146" s="360"/>
      <c r="AH146" s="360"/>
      <c r="AI146" s="360"/>
    </row>
    <row r="147" spans="1:35" x14ac:dyDescent="0.2">
      <c r="A147" s="353">
        <v>40666</v>
      </c>
      <c r="B147" s="354" t="s">
        <v>847</v>
      </c>
      <c r="C147" s="355"/>
      <c r="D147" s="356">
        <v>0.3</v>
      </c>
      <c r="E147" s="356">
        <f t="shared" si="12"/>
        <v>2151.7999999999993</v>
      </c>
      <c r="F147" s="356">
        <f t="shared" si="15"/>
        <v>4864.2099999999991</v>
      </c>
      <c r="G147" s="356">
        <f t="shared" si="16"/>
        <v>2024.7999999999997</v>
      </c>
      <c r="H147" s="357"/>
      <c r="I147" s="356"/>
      <c r="J147" s="356"/>
      <c r="K147" s="357"/>
      <c r="L147" s="356"/>
      <c r="M147" s="356"/>
      <c r="N147" s="358">
        <v>2</v>
      </c>
      <c r="O147" s="359">
        <f t="shared" si="13"/>
        <v>8351</v>
      </c>
      <c r="P147" s="358"/>
      <c r="Q147" s="359"/>
      <c r="R147" s="358">
        <v>2</v>
      </c>
      <c r="S147" s="359">
        <f t="shared" si="14"/>
        <v>7574</v>
      </c>
      <c r="T147" s="359">
        <f t="shared" si="17"/>
        <v>3933</v>
      </c>
      <c r="U147" s="357"/>
      <c r="V147" s="356"/>
      <c r="W147" s="356"/>
      <c r="X147" s="356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</row>
    <row r="148" spans="1:35" x14ac:dyDescent="0.2">
      <c r="A148" s="353">
        <v>40667</v>
      </c>
      <c r="B148" s="354"/>
      <c r="C148" s="355"/>
      <c r="D148" s="356"/>
      <c r="E148" s="356">
        <f t="shared" si="12"/>
        <v>2151.7999999999993</v>
      </c>
      <c r="F148" s="356">
        <f t="shared" si="15"/>
        <v>4864.2099999999991</v>
      </c>
      <c r="G148" s="356">
        <f t="shared" si="16"/>
        <v>2024.7999999999997</v>
      </c>
      <c r="H148" s="357"/>
      <c r="I148" s="356"/>
      <c r="J148" s="356"/>
      <c r="K148" s="357"/>
      <c r="L148" s="356"/>
      <c r="M148" s="356"/>
      <c r="N148" s="358"/>
      <c r="O148" s="359">
        <f t="shared" si="13"/>
        <v>8351</v>
      </c>
      <c r="P148" s="358"/>
      <c r="Q148" s="359"/>
      <c r="R148" s="358"/>
      <c r="S148" s="359">
        <f t="shared" si="14"/>
        <v>7574</v>
      </c>
      <c r="T148" s="359">
        <f t="shared" si="17"/>
        <v>3933</v>
      </c>
      <c r="U148" s="357"/>
      <c r="V148" s="356"/>
      <c r="W148" s="356"/>
      <c r="X148" s="356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</row>
    <row r="149" spans="1:35" x14ac:dyDescent="0.2">
      <c r="A149" s="353">
        <v>40668</v>
      </c>
      <c r="B149" s="354"/>
      <c r="C149" s="355"/>
      <c r="D149" s="356"/>
      <c r="E149" s="356">
        <f t="shared" si="12"/>
        <v>2151.7999999999993</v>
      </c>
      <c r="F149" s="356">
        <f t="shared" si="15"/>
        <v>4864.2099999999991</v>
      </c>
      <c r="G149" s="356">
        <f t="shared" si="16"/>
        <v>2024.7999999999997</v>
      </c>
      <c r="H149" s="357"/>
      <c r="I149" s="356"/>
      <c r="J149" s="356"/>
      <c r="K149" s="357"/>
      <c r="L149" s="356"/>
      <c r="M149" s="356"/>
      <c r="N149" s="358"/>
      <c r="O149" s="359">
        <f t="shared" si="13"/>
        <v>8351</v>
      </c>
      <c r="P149" s="358"/>
      <c r="Q149" s="359"/>
      <c r="R149" s="358"/>
      <c r="S149" s="359">
        <f t="shared" si="14"/>
        <v>7574</v>
      </c>
      <c r="T149" s="359">
        <f t="shared" si="17"/>
        <v>3933</v>
      </c>
      <c r="U149" s="357"/>
      <c r="V149" s="356"/>
      <c r="W149" s="356"/>
      <c r="X149" s="356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360"/>
    </row>
    <row r="150" spans="1:35" x14ac:dyDescent="0.2">
      <c r="A150" s="353">
        <v>40669</v>
      </c>
      <c r="B150" s="354"/>
      <c r="C150" s="355"/>
      <c r="D150" s="356"/>
      <c r="E150" s="356">
        <f t="shared" si="12"/>
        <v>2151.7999999999993</v>
      </c>
      <c r="F150" s="356">
        <f t="shared" si="15"/>
        <v>4864.2099999999991</v>
      </c>
      <c r="G150" s="356">
        <f t="shared" si="16"/>
        <v>2024.7999999999997</v>
      </c>
      <c r="H150" s="357"/>
      <c r="I150" s="356"/>
      <c r="J150" s="356"/>
      <c r="K150" s="357"/>
      <c r="L150" s="356"/>
      <c r="M150" s="356"/>
      <c r="N150" s="358"/>
      <c r="O150" s="359">
        <f t="shared" si="13"/>
        <v>8351</v>
      </c>
      <c r="P150" s="358"/>
      <c r="Q150" s="359"/>
      <c r="R150" s="358"/>
      <c r="S150" s="359">
        <f t="shared" si="14"/>
        <v>7574</v>
      </c>
      <c r="T150" s="359">
        <f t="shared" si="17"/>
        <v>3933</v>
      </c>
      <c r="U150" s="357"/>
      <c r="V150" s="356"/>
      <c r="W150" s="356"/>
      <c r="X150" s="356"/>
      <c r="Y150" s="360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</row>
    <row r="151" spans="1:35" x14ac:dyDescent="0.2">
      <c r="A151" s="353">
        <v>40670</v>
      </c>
      <c r="B151" s="354"/>
      <c r="C151" s="355"/>
      <c r="D151" s="356"/>
      <c r="E151" s="356">
        <f t="shared" si="12"/>
        <v>2151.7999999999993</v>
      </c>
      <c r="F151" s="356">
        <f t="shared" si="15"/>
        <v>4864.2099999999991</v>
      </c>
      <c r="G151" s="356">
        <f t="shared" si="16"/>
        <v>2024.7999999999997</v>
      </c>
      <c r="H151" s="357"/>
      <c r="I151" s="356"/>
      <c r="J151" s="356"/>
      <c r="K151" s="357"/>
      <c r="L151" s="356"/>
      <c r="M151" s="356"/>
      <c r="N151" s="358"/>
      <c r="O151" s="359">
        <f t="shared" si="13"/>
        <v>8351</v>
      </c>
      <c r="P151" s="358"/>
      <c r="Q151" s="359"/>
      <c r="R151" s="358"/>
      <c r="S151" s="359">
        <f t="shared" si="14"/>
        <v>7574</v>
      </c>
      <c r="T151" s="359">
        <f t="shared" si="17"/>
        <v>3933</v>
      </c>
      <c r="U151" s="357"/>
      <c r="V151" s="356"/>
      <c r="W151" s="356"/>
      <c r="X151" s="356"/>
      <c r="Y151" s="360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</row>
    <row r="152" spans="1:35" x14ac:dyDescent="0.2">
      <c r="A152" s="353">
        <v>40671</v>
      </c>
      <c r="B152" s="354"/>
      <c r="C152" s="355"/>
      <c r="D152" s="356"/>
      <c r="E152" s="356">
        <f t="shared" si="12"/>
        <v>2151.7999999999993</v>
      </c>
      <c r="F152" s="356">
        <f t="shared" si="15"/>
        <v>4864.2099999999991</v>
      </c>
      <c r="G152" s="356">
        <f t="shared" si="16"/>
        <v>2024.7999999999997</v>
      </c>
      <c r="H152" s="357"/>
      <c r="I152" s="356"/>
      <c r="J152" s="356"/>
      <c r="K152" s="357"/>
      <c r="L152" s="356"/>
      <c r="M152" s="356"/>
      <c r="N152" s="358"/>
      <c r="O152" s="359">
        <f t="shared" si="13"/>
        <v>8351</v>
      </c>
      <c r="P152" s="358"/>
      <c r="Q152" s="359"/>
      <c r="R152" s="358"/>
      <c r="S152" s="359">
        <f t="shared" si="14"/>
        <v>7574</v>
      </c>
      <c r="T152" s="359">
        <f t="shared" si="17"/>
        <v>3933</v>
      </c>
      <c r="U152" s="357"/>
      <c r="V152" s="356"/>
      <c r="W152" s="356"/>
      <c r="X152" s="356"/>
      <c r="Y152" s="360"/>
      <c r="Z152" s="360"/>
      <c r="AA152" s="360"/>
      <c r="AB152" s="360"/>
      <c r="AC152" s="360"/>
      <c r="AD152" s="360"/>
      <c r="AE152" s="360"/>
      <c r="AF152" s="360"/>
      <c r="AG152" s="360"/>
      <c r="AH152" s="360"/>
      <c r="AI152" s="360"/>
    </row>
    <row r="153" spans="1:35" x14ac:dyDescent="0.2">
      <c r="A153" s="353">
        <v>40672</v>
      </c>
      <c r="B153" s="354" t="s">
        <v>848</v>
      </c>
      <c r="C153" s="355"/>
      <c r="D153" s="356">
        <v>0.1</v>
      </c>
      <c r="E153" s="356">
        <f t="shared" si="12"/>
        <v>2151.8999999999992</v>
      </c>
      <c r="F153" s="356">
        <f t="shared" si="15"/>
        <v>4864.3099999999995</v>
      </c>
      <c r="G153" s="356">
        <f t="shared" si="16"/>
        <v>2024.8999999999996</v>
      </c>
      <c r="H153" s="357"/>
      <c r="I153" s="356"/>
      <c r="J153" s="356"/>
      <c r="K153" s="357"/>
      <c r="L153" s="356"/>
      <c r="M153" s="356"/>
      <c r="N153" s="358">
        <v>1</v>
      </c>
      <c r="O153" s="359">
        <f t="shared" si="13"/>
        <v>8352</v>
      </c>
      <c r="P153" s="358"/>
      <c r="Q153" s="359"/>
      <c r="R153" s="358">
        <v>1</v>
      </c>
      <c r="S153" s="359">
        <f t="shared" si="14"/>
        <v>7575</v>
      </c>
      <c r="T153" s="359">
        <f t="shared" si="17"/>
        <v>3934</v>
      </c>
      <c r="U153" s="357"/>
      <c r="V153" s="356"/>
      <c r="W153" s="356"/>
      <c r="X153" s="356"/>
      <c r="Y153" s="360"/>
      <c r="Z153" s="360"/>
      <c r="AA153" s="360"/>
      <c r="AB153" s="360"/>
      <c r="AC153" s="360"/>
      <c r="AD153" s="360"/>
      <c r="AE153" s="360"/>
      <c r="AF153" s="360"/>
      <c r="AG153" s="360"/>
      <c r="AH153" s="360"/>
      <c r="AI153" s="360"/>
    </row>
    <row r="154" spans="1:35" x14ac:dyDescent="0.2">
      <c r="A154" s="353">
        <v>40673</v>
      </c>
      <c r="B154" s="354"/>
      <c r="C154" s="355"/>
      <c r="D154" s="356"/>
      <c r="E154" s="356">
        <f t="shared" si="12"/>
        <v>2151.8999999999992</v>
      </c>
      <c r="F154" s="356">
        <f t="shared" si="15"/>
        <v>4864.3099999999995</v>
      </c>
      <c r="G154" s="356">
        <f t="shared" si="16"/>
        <v>2024.8999999999996</v>
      </c>
      <c r="H154" s="357"/>
      <c r="I154" s="356"/>
      <c r="J154" s="356"/>
      <c r="K154" s="357"/>
      <c r="L154" s="356"/>
      <c r="M154" s="356"/>
      <c r="N154" s="358"/>
      <c r="O154" s="359">
        <f t="shared" si="13"/>
        <v>8352</v>
      </c>
      <c r="P154" s="358"/>
      <c r="Q154" s="359"/>
      <c r="R154" s="358"/>
      <c r="S154" s="359">
        <f t="shared" si="14"/>
        <v>7575</v>
      </c>
      <c r="T154" s="359">
        <f t="shared" si="17"/>
        <v>3934</v>
      </c>
      <c r="U154" s="357"/>
      <c r="V154" s="356"/>
      <c r="W154" s="356"/>
      <c r="X154" s="356"/>
      <c r="Y154" s="360"/>
      <c r="Z154" s="360"/>
      <c r="AA154" s="360"/>
      <c r="AB154" s="360"/>
      <c r="AC154" s="360"/>
      <c r="AD154" s="360"/>
      <c r="AE154" s="360"/>
      <c r="AF154" s="360"/>
      <c r="AG154" s="360"/>
      <c r="AH154" s="360"/>
      <c r="AI154" s="360"/>
    </row>
    <row r="155" spans="1:35" x14ac:dyDescent="0.2">
      <c r="A155" s="353">
        <v>40674</v>
      </c>
      <c r="B155" s="354"/>
      <c r="C155" s="355"/>
      <c r="D155" s="356"/>
      <c r="E155" s="356">
        <f t="shared" si="12"/>
        <v>2151.8999999999992</v>
      </c>
      <c r="F155" s="356">
        <f t="shared" si="15"/>
        <v>4864.3099999999995</v>
      </c>
      <c r="G155" s="356">
        <f t="shared" si="16"/>
        <v>2024.8999999999996</v>
      </c>
      <c r="H155" s="357"/>
      <c r="I155" s="356"/>
      <c r="J155" s="356"/>
      <c r="K155" s="357"/>
      <c r="L155" s="356"/>
      <c r="M155" s="356"/>
      <c r="N155" s="358"/>
      <c r="O155" s="359">
        <f t="shared" si="13"/>
        <v>8352</v>
      </c>
      <c r="P155" s="358"/>
      <c r="Q155" s="359"/>
      <c r="R155" s="358"/>
      <c r="S155" s="359">
        <f t="shared" si="14"/>
        <v>7575</v>
      </c>
      <c r="T155" s="359">
        <f t="shared" si="17"/>
        <v>3934</v>
      </c>
      <c r="U155" s="357"/>
      <c r="V155" s="356"/>
      <c r="W155" s="356"/>
      <c r="X155" s="356"/>
      <c r="Y155" s="360"/>
      <c r="Z155" s="360"/>
      <c r="AA155" s="360"/>
      <c r="AB155" s="360"/>
      <c r="AC155" s="360"/>
      <c r="AD155" s="360"/>
      <c r="AE155" s="360"/>
      <c r="AF155" s="360"/>
      <c r="AG155" s="360"/>
      <c r="AH155" s="360"/>
      <c r="AI155" s="360"/>
    </row>
    <row r="156" spans="1:35" x14ac:dyDescent="0.2">
      <c r="A156" s="353">
        <v>40675</v>
      </c>
      <c r="B156" s="354"/>
      <c r="C156" s="355"/>
      <c r="D156" s="356"/>
      <c r="E156" s="356">
        <f t="shared" si="12"/>
        <v>2151.8999999999992</v>
      </c>
      <c r="F156" s="356">
        <f t="shared" si="15"/>
        <v>4864.3099999999995</v>
      </c>
      <c r="G156" s="356">
        <f t="shared" si="16"/>
        <v>2024.8999999999996</v>
      </c>
      <c r="H156" s="357"/>
      <c r="I156" s="356"/>
      <c r="J156" s="356"/>
      <c r="K156" s="357"/>
      <c r="L156" s="356"/>
      <c r="M156" s="356"/>
      <c r="N156" s="358"/>
      <c r="O156" s="359">
        <f t="shared" si="13"/>
        <v>8352</v>
      </c>
      <c r="P156" s="358"/>
      <c r="Q156" s="359"/>
      <c r="R156" s="358"/>
      <c r="S156" s="359">
        <f t="shared" si="14"/>
        <v>7575</v>
      </c>
      <c r="T156" s="359">
        <f t="shared" si="17"/>
        <v>3934</v>
      </c>
      <c r="U156" s="357"/>
      <c r="V156" s="356"/>
      <c r="W156" s="356"/>
      <c r="X156" s="356"/>
      <c r="Y156" s="360"/>
      <c r="Z156" s="360"/>
      <c r="AA156" s="360"/>
      <c r="AB156" s="360"/>
      <c r="AC156" s="360"/>
      <c r="AD156" s="360"/>
      <c r="AE156" s="360"/>
      <c r="AF156" s="360"/>
      <c r="AG156" s="360"/>
      <c r="AH156" s="360"/>
      <c r="AI156" s="360"/>
    </row>
    <row r="157" spans="1:35" x14ac:dyDescent="0.2">
      <c r="A157" s="353">
        <v>40676</v>
      </c>
      <c r="B157" s="354"/>
      <c r="C157" s="355"/>
      <c r="D157" s="356"/>
      <c r="E157" s="356">
        <f t="shared" si="12"/>
        <v>2151.8999999999992</v>
      </c>
      <c r="F157" s="356">
        <f t="shared" si="15"/>
        <v>4864.3099999999995</v>
      </c>
      <c r="G157" s="356">
        <f t="shared" si="16"/>
        <v>2024.8999999999996</v>
      </c>
      <c r="H157" s="357"/>
      <c r="I157" s="356"/>
      <c r="J157" s="356"/>
      <c r="K157" s="357"/>
      <c r="L157" s="356"/>
      <c r="M157" s="356"/>
      <c r="N157" s="358"/>
      <c r="O157" s="359">
        <f t="shared" si="13"/>
        <v>8352</v>
      </c>
      <c r="P157" s="358"/>
      <c r="Q157" s="359"/>
      <c r="R157" s="358"/>
      <c r="S157" s="359">
        <f t="shared" si="14"/>
        <v>7575</v>
      </c>
      <c r="T157" s="359">
        <f t="shared" si="17"/>
        <v>3934</v>
      </c>
      <c r="U157" s="357"/>
      <c r="V157" s="356"/>
      <c r="W157" s="356"/>
      <c r="X157" s="356"/>
      <c r="Y157" s="360"/>
      <c r="Z157" s="360"/>
      <c r="AA157" s="360"/>
      <c r="AB157" s="360"/>
      <c r="AC157" s="360"/>
      <c r="AD157" s="360"/>
      <c r="AE157" s="360"/>
      <c r="AF157" s="360"/>
      <c r="AG157" s="360"/>
      <c r="AH157" s="360"/>
      <c r="AI157" s="360"/>
    </row>
    <row r="158" spans="1:35" x14ac:dyDescent="0.2">
      <c r="A158" s="353">
        <v>40677</v>
      </c>
      <c r="B158" s="354"/>
      <c r="C158" s="355"/>
      <c r="D158" s="356"/>
      <c r="E158" s="356">
        <f t="shared" si="12"/>
        <v>2151.8999999999992</v>
      </c>
      <c r="F158" s="356">
        <f t="shared" si="15"/>
        <v>4864.3099999999995</v>
      </c>
      <c r="G158" s="356">
        <f t="shared" si="16"/>
        <v>2024.8999999999996</v>
      </c>
      <c r="H158" s="357"/>
      <c r="I158" s="356"/>
      <c r="J158" s="356"/>
      <c r="K158" s="357"/>
      <c r="L158" s="356"/>
      <c r="M158" s="356"/>
      <c r="N158" s="358"/>
      <c r="O158" s="359">
        <f t="shared" si="13"/>
        <v>8352</v>
      </c>
      <c r="P158" s="358"/>
      <c r="Q158" s="359"/>
      <c r="R158" s="358"/>
      <c r="S158" s="359">
        <f t="shared" si="14"/>
        <v>7575</v>
      </c>
      <c r="T158" s="359">
        <f t="shared" si="17"/>
        <v>3934</v>
      </c>
      <c r="U158" s="357"/>
      <c r="V158" s="356"/>
      <c r="W158" s="356"/>
      <c r="X158" s="356"/>
      <c r="Y158" s="360"/>
      <c r="Z158" s="360"/>
      <c r="AA158" s="360"/>
      <c r="AB158" s="360"/>
      <c r="AC158" s="360"/>
      <c r="AD158" s="360"/>
      <c r="AE158" s="360"/>
      <c r="AF158" s="360"/>
      <c r="AG158" s="360"/>
      <c r="AH158" s="360"/>
      <c r="AI158" s="360"/>
    </row>
    <row r="159" spans="1:35" x14ac:dyDescent="0.2">
      <c r="A159" s="353">
        <v>40678</v>
      </c>
      <c r="B159" s="354" t="s">
        <v>849</v>
      </c>
      <c r="C159" s="355"/>
      <c r="D159" s="356">
        <v>0.7</v>
      </c>
      <c r="E159" s="356">
        <f t="shared" si="12"/>
        <v>2152.599999999999</v>
      </c>
      <c r="F159" s="356">
        <f t="shared" si="15"/>
        <v>4865.0099999999993</v>
      </c>
      <c r="G159" s="356">
        <f t="shared" si="16"/>
        <v>2025.5999999999997</v>
      </c>
      <c r="H159" s="357"/>
      <c r="I159" s="356"/>
      <c r="J159" s="356"/>
      <c r="K159" s="357"/>
      <c r="L159" s="356"/>
      <c r="M159" s="356"/>
      <c r="N159" s="358">
        <v>1</v>
      </c>
      <c r="O159" s="359">
        <f t="shared" si="13"/>
        <v>8353</v>
      </c>
      <c r="P159" s="358"/>
      <c r="Q159" s="359"/>
      <c r="R159" s="358">
        <v>1</v>
      </c>
      <c r="S159" s="359">
        <f t="shared" si="14"/>
        <v>7576</v>
      </c>
      <c r="T159" s="359">
        <f t="shared" si="17"/>
        <v>3935</v>
      </c>
      <c r="U159" s="357"/>
      <c r="V159" s="356"/>
      <c r="W159" s="356"/>
      <c r="X159" s="356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I159" s="360"/>
    </row>
    <row r="160" spans="1:35" x14ac:dyDescent="0.2">
      <c r="A160" s="353">
        <v>40679</v>
      </c>
      <c r="B160" s="354"/>
      <c r="C160" s="355"/>
      <c r="D160" s="356"/>
      <c r="E160" s="356">
        <f t="shared" si="12"/>
        <v>2152.599999999999</v>
      </c>
      <c r="F160" s="356">
        <f t="shared" si="15"/>
        <v>4865.0099999999993</v>
      </c>
      <c r="G160" s="356">
        <f t="shared" si="16"/>
        <v>2025.5999999999997</v>
      </c>
      <c r="H160" s="357"/>
      <c r="I160" s="356"/>
      <c r="J160" s="356"/>
      <c r="K160" s="357"/>
      <c r="L160" s="356"/>
      <c r="M160" s="356"/>
      <c r="N160" s="358"/>
      <c r="O160" s="359">
        <f t="shared" si="13"/>
        <v>8353</v>
      </c>
      <c r="P160" s="358"/>
      <c r="Q160" s="359"/>
      <c r="R160" s="358"/>
      <c r="S160" s="359">
        <f t="shared" si="14"/>
        <v>7576</v>
      </c>
      <c r="T160" s="359">
        <f t="shared" si="17"/>
        <v>3935</v>
      </c>
      <c r="U160" s="357"/>
      <c r="V160" s="356"/>
      <c r="W160" s="356"/>
      <c r="X160" s="356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</row>
    <row r="161" spans="1:35" x14ac:dyDescent="0.2">
      <c r="A161" s="353">
        <v>40680</v>
      </c>
      <c r="B161" s="354"/>
      <c r="C161" s="355"/>
      <c r="D161" s="356"/>
      <c r="E161" s="356">
        <f t="shared" si="12"/>
        <v>2152.599999999999</v>
      </c>
      <c r="F161" s="356">
        <f t="shared" si="15"/>
        <v>4865.0099999999993</v>
      </c>
      <c r="G161" s="356">
        <f t="shared" si="16"/>
        <v>2025.5999999999997</v>
      </c>
      <c r="H161" s="357"/>
      <c r="I161" s="356"/>
      <c r="J161" s="356"/>
      <c r="K161" s="357"/>
      <c r="L161" s="356"/>
      <c r="M161" s="356"/>
      <c r="N161" s="358"/>
      <c r="O161" s="359">
        <f t="shared" si="13"/>
        <v>8353</v>
      </c>
      <c r="P161" s="358"/>
      <c r="Q161" s="359"/>
      <c r="R161" s="358"/>
      <c r="S161" s="359">
        <f t="shared" si="14"/>
        <v>7576</v>
      </c>
      <c r="T161" s="359">
        <f t="shared" si="17"/>
        <v>3935</v>
      </c>
      <c r="U161" s="357"/>
      <c r="V161" s="356"/>
      <c r="W161" s="356"/>
      <c r="X161" s="356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I161" s="360"/>
    </row>
    <row r="162" spans="1:35" x14ac:dyDescent="0.2">
      <c r="A162" s="353">
        <v>40681</v>
      </c>
      <c r="B162" s="354" t="s">
        <v>850</v>
      </c>
      <c r="C162" s="355"/>
      <c r="D162" s="356">
        <v>0.7</v>
      </c>
      <c r="E162" s="356">
        <f t="shared" si="12"/>
        <v>2153.2999999999988</v>
      </c>
      <c r="F162" s="356">
        <f t="shared" si="15"/>
        <v>4865.7099999999991</v>
      </c>
      <c r="G162" s="356">
        <f t="shared" si="16"/>
        <v>2026.2999999999997</v>
      </c>
      <c r="H162" s="357"/>
      <c r="I162" s="356"/>
      <c r="J162" s="356"/>
      <c r="K162" s="357"/>
      <c r="L162" s="356"/>
      <c r="M162" s="356"/>
      <c r="N162" s="358">
        <v>4</v>
      </c>
      <c r="O162" s="359">
        <f t="shared" si="13"/>
        <v>8357</v>
      </c>
      <c r="P162" s="358"/>
      <c r="Q162" s="359"/>
      <c r="R162" s="358">
        <v>1</v>
      </c>
      <c r="S162" s="359">
        <f t="shared" si="14"/>
        <v>7577</v>
      </c>
      <c r="T162" s="359">
        <f t="shared" si="17"/>
        <v>3936</v>
      </c>
      <c r="U162" s="357"/>
      <c r="V162" s="356"/>
      <c r="W162" s="356"/>
      <c r="X162" s="356"/>
      <c r="Y162" s="360"/>
      <c r="Z162" s="360"/>
      <c r="AA162" s="360"/>
      <c r="AB162" s="360"/>
      <c r="AC162" s="360"/>
      <c r="AD162" s="360"/>
      <c r="AE162" s="360"/>
      <c r="AF162" s="360"/>
      <c r="AG162" s="360"/>
      <c r="AH162" s="360"/>
      <c r="AI162" s="360"/>
    </row>
    <row r="163" spans="1:35" x14ac:dyDescent="0.2">
      <c r="A163" s="353">
        <v>40682</v>
      </c>
      <c r="B163" s="354" t="s">
        <v>851</v>
      </c>
      <c r="C163" s="355"/>
      <c r="D163" s="356">
        <v>3.2</v>
      </c>
      <c r="E163" s="356">
        <f t="shared" si="12"/>
        <v>2156.4999999999986</v>
      </c>
      <c r="F163" s="356">
        <f t="shared" si="15"/>
        <v>4868.9099999999989</v>
      </c>
      <c r="G163" s="356">
        <f t="shared" si="16"/>
        <v>2029.4999999999998</v>
      </c>
      <c r="H163" s="357"/>
      <c r="I163" s="356"/>
      <c r="J163" s="356"/>
      <c r="K163" s="357"/>
      <c r="L163" s="356"/>
      <c r="M163" s="356"/>
      <c r="N163" s="358">
        <v>5</v>
      </c>
      <c r="O163" s="359">
        <f t="shared" si="13"/>
        <v>8362</v>
      </c>
      <c r="P163" s="358"/>
      <c r="Q163" s="359"/>
      <c r="R163" s="358">
        <v>3</v>
      </c>
      <c r="S163" s="359">
        <f t="shared" si="14"/>
        <v>7580</v>
      </c>
      <c r="T163" s="359">
        <f t="shared" si="17"/>
        <v>3939</v>
      </c>
      <c r="U163" s="357"/>
      <c r="V163" s="356"/>
      <c r="W163" s="356"/>
      <c r="X163" s="356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  <c r="AI163" s="360"/>
    </row>
    <row r="164" spans="1:35" x14ac:dyDescent="0.2">
      <c r="A164" s="353">
        <v>40683</v>
      </c>
      <c r="B164" s="354" t="s">
        <v>852</v>
      </c>
      <c r="C164" s="355"/>
      <c r="D164" s="356">
        <v>1.3</v>
      </c>
      <c r="E164" s="356">
        <f t="shared" si="12"/>
        <v>2157.7999999999988</v>
      </c>
      <c r="F164" s="356">
        <f t="shared" si="15"/>
        <v>4870.2099999999991</v>
      </c>
      <c r="G164" s="361">
        <f t="shared" si="16"/>
        <v>2030.7999999999997</v>
      </c>
      <c r="H164" s="357"/>
      <c r="I164" s="356"/>
      <c r="J164" s="356"/>
      <c r="K164" s="357"/>
      <c r="L164" s="356"/>
      <c r="M164" s="356"/>
      <c r="N164" s="358">
        <v>4</v>
      </c>
      <c r="O164" s="359">
        <f t="shared" si="13"/>
        <v>8366</v>
      </c>
      <c r="P164" s="358"/>
      <c r="Q164" s="359"/>
      <c r="R164" s="358">
        <v>1</v>
      </c>
      <c r="S164" s="359">
        <f t="shared" si="14"/>
        <v>7581</v>
      </c>
      <c r="T164" s="359">
        <f t="shared" si="17"/>
        <v>3940</v>
      </c>
      <c r="U164" s="357"/>
      <c r="V164" s="356"/>
      <c r="W164" s="356"/>
      <c r="X164" s="356"/>
      <c r="Y164" s="360"/>
      <c r="Z164" s="360"/>
      <c r="AA164" s="360"/>
      <c r="AB164" s="360"/>
      <c r="AC164" s="360"/>
      <c r="AD164" s="360"/>
      <c r="AE164" s="360"/>
      <c r="AF164" s="360"/>
      <c r="AG164" s="360"/>
      <c r="AH164" s="360"/>
      <c r="AI164" s="360"/>
    </row>
    <row r="165" spans="1:35" x14ac:dyDescent="0.2">
      <c r="A165" s="353">
        <v>40684</v>
      </c>
      <c r="B165" s="354"/>
      <c r="C165" s="355"/>
      <c r="D165" s="356"/>
      <c r="E165" s="356">
        <f t="shared" si="12"/>
        <v>2157.7999999999988</v>
      </c>
      <c r="F165" s="356">
        <f t="shared" si="15"/>
        <v>4870.2099999999991</v>
      </c>
      <c r="G165" s="356">
        <f t="shared" si="16"/>
        <v>2030.7999999999997</v>
      </c>
      <c r="H165" s="357"/>
      <c r="I165" s="356"/>
      <c r="J165" s="356"/>
      <c r="K165" s="357"/>
      <c r="L165" s="356"/>
      <c r="M165" s="356"/>
      <c r="N165" s="358"/>
      <c r="O165" s="359">
        <f t="shared" si="13"/>
        <v>8366</v>
      </c>
      <c r="P165" s="358"/>
      <c r="Q165" s="359"/>
      <c r="R165" s="358"/>
      <c r="S165" s="359">
        <f t="shared" si="14"/>
        <v>7581</v>
      </c>
      <c r="T165" s="359">
        <f t="shared" si="17"/>
        <v>3940</v>
      </c>
      <c r="U165" s="357"/>
      <c r="V165" s="356"/>
      <c r="W165" s="356"/>
      <c r="X165" s="356"/>
      <c r="Y165" s="360"/>
      <c r="Z165" s="360"/>
      <c r="AA165" s="360"/>
      <c r="AB165" s="360"/>
      <c r="AC165" s="360"/>
      <c r="AD165" s="360"/>
      <c r="AE165" s="360"/>
      <c r="AF165" s="360"/>
      <c r="AG165" s="360"/>
      <c r="AH165" s="360"/>
      <c r="AI165" s="360"/>
    </row>
    <row r="166" spans="1:35" x14ac:dyDescent="0.2">
      <c r="A166" s="353">
        <v>40685</v>
      </c>
      <c r="B166" s="354"/>
      <c r="C166" s="355"/>
      <c r="D166" s="356"/>
      <c r="E166" s="356">
        <f t="shared" si="12"/>
        <v>2157.7999999999988</v>
      </c>
      <c r="F166" s="356">
        <f t="shared" si="15"/>
        <v>4870.2099999999991</v>
      </c>
      <c r="G166" s="356">
        <f t="shared" si="16"/>
        <v>2030.7999999999997</v>
      </c>
      <c r="H166" s="357"/>
      <c r="I166" s="356"/>
      <c r="J166" s="356"/>
      <c r="K166" s="357"/>
      <c r="L166" s="356"/>
      <c r="M166" s="356"/>
      <c r="N166" s="358"/>
      <c r="O166" s="359">
        <f t="shared" si="13"/>
        <v>8366</v>
      </c>
      <c r="P166" s="358"/>
      <c r="Q166" s="359"/>
      <c r="R166" s="358"/>
      <c r="S166" s="359">
        <f t="shared" si="14"/>
        <v>7581</v>
      </c>
      <c r="T166" s="359">
        <f t="shared" si="17"/>
        <v>3940</v>
      </c>
      <c r="U166" s="357"/>
      <c r="V166" s="356"/>
      <c r="W166" s="356"/>
      <c r="X166" s="356"/>
      <c r="Y166" s="360"/>
      <c r="Z166" s="360"/>
      <c r="AA166" s="360"/>
      <c r="AB166" s="360"/>
      <c r="AC166" s="360"/>
      <c r="AD166" s="360"/>
      <c r="AE166" s="360"/>
      <c r="AF166" s="360"/>
      <c r="AG166" s="360"/>
      <c r="AH166" s="360"/>
      <c r="AI166" s="360"/>
    </row>
    <row r="167" spans="1:35" x14ac:dyDescent="0.2">
      <c r="A167" s="362">
        <v>40686</v>
      </c>
      <c r="B167" s="363" t="s">
        <v>854</v>
      </c>
      <c r="C167" s="364" t="s">
        <v>741</v>
      </c>
      <c r="D167" s="365">
        <v>1.2</v>
      </c>
      <c r="E167" s="365">
        <f t="shared" ref="E167:E175" si="18">E166+D167</f>
        <v>2158.9999999999986</v>
      </c>
      <c r="F167" s="365">
        <f>F166+D167</f>
        <v>4871.4099999999989</v>
      </c>
      <c r="G167" s="365">
        <f>G166+D167</f>
        <v>2031.9999999999998</v>
      </c>
      <c r="H167" s="366">
        <v>3.24</v>
      </c>
      <c r="I167" s="365" t="e">
        <f>#REF!+H167</f>
        <v>#REF!</v>
      </c>
      <c r="J167" s="365" t="e">
        <f>#REF!+H167</f>
        <v>#REF!</v>
      </c>
      <c r="K167" s="366">
        <v>3.24</v>
      </c>
      <c r="L167" s="365" t="e">
        <f>#REF!+K167</f>
        <v>#REF!</v>
      </c>
      <c r="M167" s="365" t="e">
        <f>#REF!+K167</f>
        <v>#REF!</v>
      </c>
      <c r="N167" s="367">
        <v>9</v>
      </c>
      <c r="O167" s="439">
        <f t="shared" ref="O167:O175" si="19">O166+N167</f>
        <v>8375</v>
      </c>
      <c r="P167" s="367">
        <v>0</v>
      </c>
      <c r="Q167" s="368" t="e">
        <f>#REF!+P167</f>
        <v>#REF!</v>
      </c>
      <c r="R167" s="367">
        <v>6</v>
      </c>
      <c r="S167" s="368">
        <f>S166+R167</f>
        <v>7587</v>
      </c>
      <c r="T167" s="368">
        <f>T166+R167</f>
        <v>3946</v>
      </c>
      <c r="U167" s="366"/>
      <c r="V167" s="365"/>
      <c r="W167" s="365"/>
      <c r="X167" s="365"/>
      <c r="Y167" s="1811"/>
      <c r="Z167" s="1811"/>
      <c r="AA167" s="1811"/>
      <c r="AB167" s="1811"/>
      <c r="AC167" s="1811"/>
      <c r="AD167" s="1811"/>
      <c r="AE167" s="1811"/>
      <c r="AF167" s="1811"/>
      <c r="AG167" s="1811"/>
      <c r="AH167" s="1811"/>
      <c r="AI167" s="1811"/>
    </row>
    <row r="168" spans="1:35" x14ac:dyDescent="0.2">
      <c r="A168" s="362">
        <v>40687</v>
      </c>
      <c r="B168" s="369"/>
      <c r="C168" s="364"/>
      <c r="D168" s="365"/>
      <c r="E168" s="365">
        <f t="shared" si="18"/>
        <v>2158.9999999999986</v>
      </c>
      <c r="F168" s="365">
        <f t="shared" ref="F168:F175" si="20">F167+D168</f>
        <v>4871.4099999999989</v>
      </c>
      <c r="G168" s="365">
        <f t="shared" ref="G168:G175" si="21">G167+D168</f>
        <v>2031.9999999999998</v>
      </c>
      <c r="H168" s="366"/>
      <c r="I168" s="365" t="e">
        <f t="shared" ref="I168:I175" si="22">I167+H168</f>
        <v>#REF!</v>
      </c>
      <c r="J168" s="365" t="e">
        <f t="shared" ref="J168:J175" si="23">J167+H168</f>
        <v>#REF!</v>
      </c>
      <c r="K168" s="366"/>
      <c r="L168" s="365" t="e">
        <f t="shared" ref="L168:L175" si="24">L167+K168</f>
        <v>#REF!</v>
      </c>
      <c r="M168" s="365" t="e">
        <f t="shared" ref="M168:M175" si="25">M167+K168</f>
        <v>#REF!</v>
      </c>
      <c r="N168" s="367"/>
      <c r="O168" s="368">
        <f t="shared" si="19"/>
        <v>8375</v>
      </c>
      <c r="P168" s="367"/>
      <c r="Q168" s="368" t="e">
        <f t="shared" ref="Q168:Q175" si="26">Q167+P168</f>
        <v>#REF!</v>
      </c>
      <c r="R168" s="367"/>
      <c r="S168" s="368">
        <f t="shared" ref="S168:S175" si="27">S167+R168</f>
        <v>7587</v>
      </c>
      <c r="T168" s="368">
        <f t="shared" ref="T168:T175" si="28">T167+R168</f>
        <v>3946</v>
      </c>
      <c r="U168" s="366"/>
      <c r="V168" s="365"/>
      <c r="W168" s="365"/>
      <c r="X168" s="365"/>
      <c r="Y168" s="1811"/>
      <c r="Z168" s="1811"/>
      <c r="AA168" s="1811"/>
      <c r="AB168" s="1811"/>
      <c r="AC168" s="1811"/>
      <c r="AD168" s="1811"/>
      <c r="AE168" s="1811"/>
      <c r="AF168" s="1811"/>
      <c r="AG168" s="1811"/>
      <c r="AH168" s="1811"/>
      <c r="AI168" s="1811"/>
    </row>
    <row r="169" spans="1:35" x14ac:dyDescent="0.2">
      <c r="A169" s="362">
        <v>40688</v>
      </c>
      <c r="B169" s="369"/>
      <c r="C169" s="364"/>
      <c r="D169" s="365"/>
      <c r="E169" s="365">
        <f t="shared" si="18"/>
        <v>2158.9999999999986</v>
      </c>
      <c r="F169" s="365">
        <f t="shared" si="20"/>
        <v>4871.4099999999989</v>
      </c>
      <c r="G169" s="365">
        <f t="shared" si="21"/>
        <v>2031.9999999999998</v>
      </c>
      <c r="H169" s="366"/>
      <c r="I169" s="365" t="e">
        <f t="shared" si="22"/>
        <v>#REF!</v>
      </c>
      <c r="J169" s="365" t="e">
        <f t="shared" si="23"/>
        <v>#REF!</v>
      </c>
      <c r="K169" s="366"/>
      <c r="L169" s="365" t="e">
        <f t="shared" si="24"/>
        <v>#REF!</v>
      </c>
      <c r="M169" s="365" t="e">
        <f t="shared" si="25"/>
        <v>#REF!</v>
      </c>
      <c r="N169" s="367"/>
      <c r="O169" s="368">
        <f t="shared" si="19"/>
        <v>8375</v>
      </c>
      <c r="P169" s="367"/>
      <c r="Q169" s="368" t="e">
        <f t="shared" si="26"/>
        <v>#REF!</v>
      </c>
      <c r="R169" s="367"/>
      <c r="S169" s="368">
        <f t="shared" si="27"/>
        <v>7587</v>
      </c>
      <c r="T169" s="368">
        <f t="shared" si="28"/>
        <v>3946</v>
      </c>
      <c r="U169" s="366"/>
      <c r="V169" s="365"/>
      <c r="W169" s="365"/>
      <c r="X169" s="365"/>
      <c r="Y169" s="1811"/>
      <c r="Z169" s="1811"/>
      <c r="AA169" s="1811"/>
      <c r="AB169" s="1811"/>
      <c r="AC169" s="1811"/>
      <c r="AD169" s="1811"/>
      <c r="AE169" s="1811"/>
      <c r="AF169" s="1811"/>
      <c r="AG169" s="1811"/>
      <c r="AH169" s="1811"/>
      <c r="AI169" s="1811"/>
    </row>
    <row r="170" spans="1:35" x14ac:dyDescent="0.2">
      <c r="A170" s="362">
        <v>40689</v>
      </c>
      <c r="B170" s="369" t="s">
        <v>853</v>
      </c>
      <c r="C170" s="364"/>
      <c r="D170" s="365">
        <v>0.7</v>
      </c>
      <c r="E170" s="365">
        <f t="shared" si="18"/>
        <v>2159.6999999999985</v>
      </c>
      <c r="F170" s="365">
        <f t="shared" si="20"/>
        <v>4872.1099999999988</v>
      </c>
      <c r="G170" s="365">
        <f t="shared" si="21"/>
        <v>2032.6999999999998</v>
      </c>
      <c r="H170" s="366"/>
      <c r="I170" s="365" t="e">
        <f t="shared" si="22"/>
        <v>#REF!</v>
      </c>
      <c r="J170" s="365" t="e">
        <f t="shared" si="23"/>
        <v>#REF!</v>
      </c>
      <c r="K170" s="366"/>
      <c r="L170" s="365" t="e">
        <f t="shared" si="24"/>
        <v>#REF!</v>
      </c>
      <c r="M170" s="365" t="e">
        <f t="shared" si="25"/>
        <v>#REF!</v>
      </c>
      <c r="N170" s="367">
        <v>3</v>
      </c>
      <c r="O170" s="368">
        <f t="shared" si="19"/>
        <v>8378</v>
      </c>
      <c r="P170" s="367"/>
      <c r="Q170" s="368" t="e">
        <f t="shared" si="26"/>
        <v>#REF!</v>
      </c>
      <c r="R170" s="367">
        <v>1</v>
      </c>
      <c r="S170" s="368">
        <f t="shared" si="27"/>
        <v>7588</v>
      </c>
      <c r="T170" s="368">
        <f t="shared" si="28"/>
        <v>3947</v>
      </c>
      <c r="U170" s="366"/>
      <c r="V170" s="365"/>
      <c r="W170" s="365"/>
      <c r="X170" s="365"/>
      <c r="Y170" s="1811"/>
      <c r="Z170" s="1811"/>
      <c r="AA170" s="1811"/>
      <c r="AB170" s="1811"/>
      <c r="AC170" s="1811"/>
      <c r="AD170" s="1811"/>
      <c r="AE170" s="1811"/>
      <c r="AF170" s="1811"/>
      <c r="AG170" s="1811"/>
      <c r="AH170" s="1811"/>
      <c r="AI170" s="1811"/>
    </row>
    <row r="171" spans="1:35" x14ac:dyDescent="0.2">
      <c r="A171" s="440">
        <v>40690</v>
      </c>
      <c r="B171" s="441" t="s">
        <v>855</v>
      </c>
      <c r="C171" s="442"/>
      <c r="D171" s="443">
        <v>1.2</v>
      </c>
      <c r="E171" s="443">
        <f t="shared" si="18"/>
        <v>2160.8999999999983</v>
      </c>
      <c r="F171" s="443">
        <f t="shared" si="20"/>
        <v>4873.3099999999986</v>
      </c>
      <c r="G171" s="443">
        <f t="shared" si="21"/>
        <v>2033.8999999999999</v>
      </c>
      <c r="H171" s="444"/>
      <c r="I171" s="443" t="e">
        <f t="shared" si="22"/>
        <v>#REF!</v>
      </c>
      <c r="J171" s="443" t="e">
        <f t="shared" si="23"/>
        <v>#REF!</v>
      </c>
      <c r="K171" s="444"/>
      <c r="L171" s="443" t="e">
        <f t="shared" si="24"/>
        <v>#REF!</v>
      </c>
      <c r="M171" s="443" t="e">
        <f t="shared" si="25"/>
        <v>#REF!</v>
      </c>
      <c r="N171" s="445">
        <v>3</v>
      </c>
      <c r="O171" s="446">
        <f t="shared" si="19"/>
        <v>8381</v>
      </c>
      <c r="P171" s="445"/>
      <c r="Q171" s="446" t="e">
        <f t="shared" si="26"/>
        <v>#REF!</v>
      </c>
      <c r="R171" s="445">
        <v>3</v>
      </c>
      <c r="S171" s="446">
        <f t="shared" si="27"/>
        <v>7591</v>
      </c>
      <c r="T171" s="446">
        <f t="shared" si="28"/>
        <v>3950</v>
      </c>
      <c r="U171" s="366"/>
      <c r="V171" s="365"/>
      <c r="W171" s="365"/>
      <c r="X171" s="365"/>
      <c r="Y171" s="1811"/>
      <c r="Z171" s="1811"/>
      <c r="AA171" s="1811"/>
      <c r="AB171" s="1811"/>
      <c r="AC171" s="1811"/>
      <c r="AD171" s="1811"/>
      <c r="AE171" s="1811"/>
      <c r="AF171" s="1811"/>
      <c r="AG171" s="1811"/>
      <c r="AH171" s="1811"/>
      <c r="AI171" s="1811"/>
    </row>
    <row r="172" spans="1:35" x14ac:dyDescent="0.2">
      <c r="A172" s="362">
        <v>40691</v>
      </c>
      <c r="B172" s="369"/>
      <c r="C172" s="364"/>
      <c r="D172" s="365"/>
      <c r="E172" s="365">
        <f t="shared" si="18"/>
        <v>2160.8999999999983</v>
      </c>
      <c r="F172" s="365">
        <f t="shared" si="20"/>
        <v>4873.3099999999986</v>
      </c>
      <c r="G172" s="365">
        <f t="shared" si="21"/>
        <v>2033.8999999999999</v>
      </c>
      <c r="H172" s="366"/>
      <c r="I172" s="365" t="e">
        <f t="shared" si="22"/>
        <v>#REF!</v>
      </c>
      <c r="J172" s="365" t="e">
        <f t="shared" si="23"/>
        <v>#REF!</v>
      </c>
      <c r="K172" s="366"/>
      <c r="L172" s="365" t="e">
        <f t="shared" si="24"/>
        <v>#REF!</v>
      </c>
      <c r="M172" s="365" t="e">
        <f t="shared" si="25"/>
        <v>#REF!</v>
      </c>
      <c r="N172" s="367"/>
      <c r="O172" s="368">
        <f t="shared" si="19"/>
        <v>8381</v>
      </c>
      <c r="P172" s="367"/>
      <c r="Q172" s="368" t="e">
        <f t="shared" si="26"/>
        <v>#REF!</v>
      </c>
      <c r="R172" s="367"/>
      <c r="S172" s="368">
        <f t="shared" si="27"/>
        <v>7591</v>
      </c>
      <c r="T172" s="368">
        <f t="shared" si="28"/>
        <v>3950</v>
      </c>
      <c r="U172" s="366"/>
      <c r="V172" s="365"/>
      <c r="W172" s="365"/>
      <c r="X172" s="365"/>
      <c r="Y172" s="1811"/>
      <c r="Z172" s="1811"/>
      <c r="AA172" s="1811"/>
      <c r="AB172" s="1811"/>
      <c r="AC172" s="1811"/>
      <c r="AD172" s="1811"/>
      <c r="AE172" s="1811"/>
      <c r="AF172" s="1811"/>
      <c r="AG172" s="1811"/>
      <c r="AH172" s="1811"/>
      <c r="AI172" s="1811"/>
    </row>
    <row r="173" spans="1:35" x14ac:dyDescent="0.2">
      <c r="A173" s="362">
        <v>40692</v>
      </c>
      <c r="B173" s="369"/>
      <c r="C173" s="364"/>
      <c r="D173" s="365"/>
      <c r="E173" s="365">
        <f t="shared" si="18"/>
        <v>2160.8999999999983</v>
      </c>
      <c r="F173" s="365">
        <f t="shared" si="20"/>
        <v>4873.3099999999986</v>
      </c>
      <c r="G173" s="365">
        <f t="shared" si="21"/>
        <v>2033.8999999999999</v>
      </c>
      <c r="H173" s="366"/>
      <c r="I173" s="365" t="e">
        <f t="shared" si="22"/>
        <v>#REF!</v>
      </c>
      <c r="J173" s="365" t="e">
        <f t="shared" si="23"/>
        <v>#REF!</v>
      </c>
      <c r="K173" s="366"/>
      <c r="L173" s="365" t="e">
        <f t="shared" si="24"/>
        <v>#REF!</v>
      </c>
      <c r="M173" s="365" t="e">
        <f t="shared" si="25"/>
        <v>#REF!</v>
      </c>
      <c r="N173" s="367"/>
      <c r="O173" s="368">
        <f t="shared" si="19"/>
        <v>8381</v>
      </c>
      <c r="P173" s="367"/>
      <c r="Q173" s="368" t="e">
        <f t="shared" si="26"/>
        <v>#REF!</v>
      </c>
      <c r="R173" s="367"/>
      <c r="S173" s="368">
        <f t="shared" si="27"/>
        <v>7591</v>
      </c>
      <c r="T173" s="368">
        <f t="shared" si="28"/>
        <v>3950</v>
      </c>
      <c r="U173" s="366"/>
      <c r="V173" s="365"/>
      <c r="W173" s="365"/>
      <c r="X173" s="365"/>
      <c r="Y173" s="1811"/>
      <c r="Z173" s="1811"/>
      <c r="AA173" s="1811"/>
      <c r="AB173" s="1811"/>
      <c r="AC173" s="1811"/>
      <c r="AD173" s="1811"/>
      <c r="AE173" s="1811"/>
      <c r="AF173" s="1811"/>
      <c r="AG173" s="1811"/>
      <c r="AH173" s="1811"/>
      <c r="AI173" s="1811"/>
    </row>
    <row r="174" spans="1:35" x14ac:dyDescent="0.2">
      <c r="A174" s="362">
        <v>40693</v>
      </c>
      <c r="B174" s="369"/>
      <c r="C174" s="364"/>
      <c r="D174" s="365"/>
      <c r="E174" s="365">
        <f t="shared" si="18"/>
        <v>2160.8999999999983</v>
      </c>
      <c r="F174" s="365">
        <f t="shared" si="20"/>
        <v>4873.3099999999986</v>
      </c>
      <c r="G174" s="365">
        <f t="shared" si="21"/>
        <v>2033.8999999999999</v>
      </c>
      <c r="H174" s="366"/>
      <c r="I174" s="365" t="e">
        <f t="shared" si="22"/>
        <v>#REF!</v>
      </c>
      <c r="J174" s="365" t="e">
        <f t="shared" si="23"/>
        <v>#REF!</v>
      </c>
      <c r="K174" s="366"/>
      <c r="L174" s="365" t="e">
        <f t="shared" si="24"/>
        <v>#REF!</v>
      </c>
      <c r="M174" s="365" t="e">
        <f t="shared" si="25"/>
        <v>#REF!</v>
      </c>
      <c r="N174" s="367"/>
      <c r="O174" s="368">
        <f t="shared" si="19"/>
        <v>8381</v>
      </c>
      <c r="P174" s="367"/>
      <c r="Q174" s="368" t="e">
        <f t="shared" si="26"/>
        <v>#REF!</v>
      </c>
      <c r="R174" s="367"/>
      <c r="S174" s="368">
        <f t="shared" si="27"/>
        <v>7591</v>
      </c>
      <c r="T174" s="368">
        <f t="shared" si="28"/>
        <v>3950</v>
      </c>
      <c r="U174" s="366"/>
      <c r="V174" s="365"/>
      <c r="W174" s="365"/>
      <c r="X174" s="365"/>
      <c r="Y174" s="1811"/>
      <c r="Z174" s="1811"/>
      <c r="AA174" s="1811"/>
      <c r="AB174" s="1811"/>
      <c r="AC174" s="1811"/>
      <c r="AD174" s="1811"/>
      <c r="AE174" s="1811"/>
      <c r="AF174" s="1811"/>
      <c r="AG174" s="1811"/>
      <c r="AH174" s="1811"/>
      <c r="AI174" s="1811"/>
    </row>
    <row r="175" spans="1:35" x14ac:dyDescent="0.2">
      <c r="A175" s="362">
        <v>40694</v>
      </c>
      <c r="B175" s="369" t="s">
        <v>863</v>
      </c>
      <c r="C175" s="364"/>
      <c r="D175" s="365">
        <v>1.1000000000000001</v>
      </c>
      <c r="E175" s="365">
        <f t="shared" si="18"/>
        <v>2161.9999999999982</v>
      </c>
      <c r="F175" s="365">
        <f t="shared" si="20"/>
        <v>4874.4099999999989</v>
      </c>
      <c r="G175" s="365">
        <f t="shared" si="21"/>
        <v>2034.9999999999998</v>
      </c>
      <c r="H175" s="366"/>
      <c r="I175" s="365" t="e">
        <f t="shared" si="22"/>
        <v>#REF!</v>
      </c>
      <c r="J175" s="365" t="e">
        <f t="shared" si="23"/>
        <v>#REF!</v>
      </c>
      <c r="K175" s="366"/>
      <c r="L175" s="365" t="e">
        <f t="shared" si="24"/>
        <v>#REF!</v>
      </c>
      <c r="M175" s="365" t="e">
        <f t="shared" si="25"/>
        <v>#REF!</v>
      </c>
      <c r="N175" s="367">
        <v>3</v>
      </c>
      <c r="O175" s="368">
        <f t="shared" si="19"/>
        <v>8384</v>
      </c>
      <c r="P175" s="367"/>
      <c r="Q175" s="368" t="e">
        <f t="shared" si="26"/>
        <v>#REF!</v>
      </c>
      <c r="R175" s="367">
        <v>1</v>
      </c>
      <c r="S175" s="368">
        <f t="shared" si="27"/>
        <v>7592</v>
      </c>
      <c r="T175" s="368">
        <f t="shared" si="28"/>
        <v>3951</v>
      </c>
      <c r="U175" s="366"/>
      <c r="V175" s="365"/>
      <c r="W175" s="365"/>
      <c r="X175" s="365"/>
      <c r="Y175" s="1811"/>
      <c r="Z175" s="1811"/>
      <c r="AA175" s="1811"/>
      <c r="AB175" s="1811"/>
      <c r="AC175" s="1811"/>
      <c r="AD175" s="1811"/>
      <c r="AE175" s="1811"/>
      <c r="AF175" s="1811"/>
      <c r="AG175" s="1811"/>
      <c r="AH175" s="1811"/>
      <c r="AI175" s="1811"/>
    </row>
    <row r="176" spans="1:35" x14ac:dyDescent="0.2">
      <c r="A176" s="370"/>
      <c r="B176" s="371"/>
      <c r="C176" s="372"/>
      <c r="D176" s="373"/>
      <c r="E176" s="373"/>
      <c r="F176" s="373"/>
      <c r="G176" s="373"/>
      <c r="H176" s="374"/>
      <c r="I176" s="375"/>
      <c r="J176" s="375"/>
      <c r="K176" s="374"/>
      <c r="L176" s="375"/>
      <c r="M176" s="375"/>
      <c r="N176" s="376"/>
      <c r="O176" s="376"/>
      <c r="P176" s="376"/>
      <c r="Q176" s="376"/>
      <c r="R176" s="376"/>
      <c r="S176" s="376"/>
      <c r="T176" s="377"/>
    </row>
    <row r="177" spans="1:19" ht="15.75" x14ac:dyDescent="0.25">
      <c r="A177" s="378" t="s">
        <v>742</v>
      </c>
      <c r="B177" s="379"/>
      <c r="C177" s="372"/>
      <c r="D177" s="373"/>
      <c r="E177" s="373"/>
      <c r="F177" s="373"/>
      <c r="G177" s="373"/>
      <c r="H177" s="374"/>
      <c r="I177" s="375"/>
      <c r="J177" s="375"/>
      <c r="K177" s="374"/>
      <c r="L177" s="375"/>
      <c r="M177" s="375"/>
      <c r="N177" s="376"/>
      <c r="O177" s="376"/>
      <c r="P177" s="376"/>
      <c r="Q177" s="376"/>
      <c r="R177" s="376"/>
      <c r="S177" s="376"/>
    </row>
    <row r="178" spans="1:19" x14ac:dyDescent="0.2">
      <c r="A178" s="380"/>
      <c r="B178" s="379"/>
      <c r="C178" s="372"/>
      <c r="D178" s="373"/>
      <c r="E178" s="373"/>
      <c r="F178" s="373"/>
      <c r="G178" s="373"/>
      <c r="H178" s="374"/>
      <c r="I178" s="375"/>
      <c r="J178" s="375"/>
      <c r="K178" s="374"/>
      <c r="L178" s="375"/>
      <c r="M178" s="375"/>
      <c r="N178" s="376"/>
      <c r="O178" s="376"/>
      <c r="P178" s="376"/>
      <c r="Q178" s="376"/>
      <c r="R178" s="376"/>
      <c r="S178" s="376"/>
    </row>
    <row r="179" spans="1:19" ht="15.75" x14ac:dyDescent="0.25">
      <c r="A179" s="381" t="s">
        <v>743</v>
      </c>
      <c r="B179" s="379"/>
      <c r="C179" s="372"/>
      <c r="D179" s="373"/>
      <c r="E179" s="373"/>
      <c r="F179" s="373"/>
      <c r="G179" s="373"/>
      <c r="H179" s="374"/>
      <c r="I179" s="375"/>
      <c r="J179" s="375"/>
      <c r="K179" s="374"/>
      <c r="L179" s="375"/>
      <c r="M179" s="375"/>
      <c r="N179" s="376"/>
      <c r="O179" s="376"/>
      <c r="P179" s="376"/>
      <c r="Q179" s="376"/>
      <c r="R179" s="376"/>
      <c r="S179" s="376"/>
    </row>
    <row r="180" spans="1:19" x14ac:dyDescent="0.2">
      <c r="A180" s="382"/>
      <c r="B180" s="379"/>
      <c r="C180" s="372"/>
      <c r="D180" s="373"/>
      <c r="E180" s="373"/>
      <c r="F180" s="373"/>
      <c r="G180" s="373"/>
      <c r="H180" s="374"/>
      <c r="I180" s="375"/>
      <c r="J180" s="375"/>
      <c r="K180" s="374"/>
      <c r="L180" s="375"/>
      <c r="M180" s="375"/>
      <c r="N180" s="376"/>
      <c r="O180" s="376"/>
      <c r="P180" s="376"/>
      <c r="Q180" s="376"/>
      <c r="R180" s="376"/>
      <c r="S180" s="376"/>
    </row>
    <row r="181" spans="1:19" ht="15.75" x14ac:dyDescent="0.25">
      <c r="A181" s="381" t="s">
        <v>744</v>
      </c>
      <c r="B181" s="379"/>
      <c r="C181" s="372"/>
      <c r="D181" s="373"/>
      <c r="E181" s="373"/>
      <c r="F181" s="373"/>
      <c r="G181" s="373"/>
      <c r="H181" s="374"/>
      <c r="I181" s="375"/>
      <c r="J181" s="375"/>
      <c r="K181" s="374"/>
      <c r="L181" s="375"/>
      <c r="M181" s="375"/>
      <c r="N181" s="376"/>
      <c r="O181" s="376"/>
      <c r="P181" s="376"/>
      <c r="Q181" s="376"/>
      <c r="R181" s="376"/>
      <c r="S181" s="376"/>
    </row>
    <row r="182" spans="1:19" x14ac:dyDescent="0.2">
      <c r="A182" s="383"/>
      <c r="B182" s="384"/>
      <c r="C182" s="385"/>
      <c r="D182" s="385"/>
      <c r="E182" s="385"/>
      <c r="F182" s="385"/>
      <c r="G182" s="385"/>
      <c r="H182" s="385"/>
      <c r="I182" s="385"/>
      <c r="J182" s="385"/>
      <c r="K182" s="385"/>
      <c r="L182" s="375"/>
      <c r="M182" s="375"/>
      <c r="N182" s="376"/>
      <c r="O182" s="376"/>
      <c r="P182" s="376"/>
      <c r="Q182" s="376"/>
      <c r="R182" s="376"/>
      <c r="S182" s="376"/>
    </row>
    <row r="183" spans="1:19" ht="15.75" x14ac:dyDescent="0.25">
      <c r="A183" s="381" t="s">
        <v>745</v>
      </c>
      <c r="B183" s="384"/>
      <c r="C183" s="385"/>
      <c r="D183" s="385"/>
      <c r="E183" s="385"/>
      <c r="F183" s="385"/>
      <c r="G183" s="385"/>
      <c r="H183" s="385"/>
      <c r="I183" s="385"/>
      <c r="J183" s="385"/>
      <c r="K183" s="385"/>
      <c r="L183" s="375"/>
      <c r="M183" s="375"/>
      <c r="N183" s="376"/>
      <c r="O183" s="376"/>
      <c r="P183" s="376"/>
      <c r="Q183" s="376"/>
      <c r="R183" s="376"/>
      <c r="S183" s="376"/>
    </row>
    <row r="184" spans="1:19" x14ac:dyDescent="0.2">
      <c r="A184" s="386" t="s">
        <v>746</v>
      </c>
      <c r="B184" s="384"/>
      <c r="C184" s="385"/>
      <c r="D184" s="385"/>
      <c r="E184" s="385"/>
      <c r="F184" s="385"/>
      <c r="G184" s="385"/>
      <c r="H184" s="385"/>
      <c r="I184" s="387">
        <v>40681</v>
      </c>
      <c r="J184" s="385"/>
      <c r="K184" s="385"/>
      <c r="L184" s="375"/>
      <c r="M184" s="375"/>
      <c r="N184" s="376"/>
      <c r="O184" s="376"/>
      <c r="P184" s="376"/>
      <c r="Q184" s="376"/>
      <c r="R184" s="376"/>
      <c r="S184" s="376"/>
    </row>
    <row r="185" spans="1:19" x14ac:dyDescent="0.2">
      <c r="A185" s="388" t="s">
        <v>747</v>
      </c>
      <c r="B185" s="384"/>
      <c r="C185" s="385"/>
      <c r="D185" s="385"/>
      <c r="E185" s="388" t="s">
        <v>748</v>
      </c>
      <c r="F185" s="385"/>
      <c r="G185" s="385"/>
      <c r="H185" s="385"/>
      <c r="I185" s="387">
        <v>40686</v>
      </c>
      <c r="J185" s="385"/>
      <c r="K185" s="385"/>
      <c r="L185" s="375"/>
      <c r="M185" s="375"/>
      <c r="N185" s="376"/>
      <c r="O185" s="376"/>
      <c r="P185" s="376"/>
      <c r="Q185" s="376"/>
      <c r="R185" s="376"/>
      <c r="S185" s="376"/>
    </row>
    <row r="186" spans="1:19" x14ac:dyDescent="0.2">
      <c r="A186" s="388" t="s">
        <v>749</v>
      </c>
      <c r="B186" s="384"/>
      <c r="C186" s="385"/>
      <c r="D186" s="385"/>
      <c r="E186" s="388" t="s">
        <v>748</v>
      </c>
      <c r="F186" s="385"/>
      <c r="G186" s="385"/>
      <c r="H186" s="385"/>
      <c r="I186" s="387">
        <v>40686</v>
      </c>
      <c r="J186" s="385"/>
      <c r="K186" s="385"/>
      <c r="L186" s="375"/>
      <c r="M186" s="375"/>
      <c r="N186" s="376"/>
      <c r="O186" s="376"/>
      <c r="P186" s="376"/>
      <c r="Q186" s="376"/>
      <c r="R186" s="376"/>
      <c r="S186" s="376"/>
    </row>
    <row r="187" spans="1:19" x14ac:dyDescent="0.2">
      <c r="A187" s="389" t="s">
        <v>750</v>
      </c>
      <c r="B187" s="384"/>
      <c r="C187" s="385"/>
      <c r="D187" s="385"/>
      <c r="E187" s="385"/>
      <c r="F187" s="385"/>
      <c r="G187" s="385"/>
      <c r="H187" s="385"/>
      <c r="I187" s="387">
        <v>40686</v>
      </c>
      <c r="J187" s="385"/>
      <c r="K187" s="385"/>
      <c r="L187" s="375"/>
      <c r="M187" s="375"/>
      <c r="N187" s="376"/>
      <c r="O187" s="376"/>
      <c r="P187" s="376"/>
      <c r="Q187" s="376"/>
      <c r="R187" s="376"/>
      <c r="S187" s="376"/>
    </row>
    <row r="188" spans="1:19" x14ac:dyDescent="0.2">
      <c r="A188" s="389" t="s">
        <v>751</v>
      </c>
      <c r="B188" s="384"/>
      <c r="C188" s="385"/>
      <c r="D188" s="385"/>
      <c r="E188" s="385"/>
      <c r="F188" s="385"/>
      <c r="G188" s="385"/>
      <c r="H188" s="385"/>
      <c r="I188" s="387">
        <v>40686</v>
      </c>
      <c r="J188" s="385"/>
      <c r="K188" s="385"/>
      <c r="L188" s="375"/>
      <c r="M188" s="375"/>
      <c r="N188" s="376"/>
      <c r="O188" s="376"/>
      <c r="P188" s="376"/>
      <c r="Q188" s="376"/>
      <c r="R188" s="376"/>
      <c r="S188" s="376"/>
    </row>
    <row r="189" spans="1:19" x14ac:dyDescent="0.2">
      <c r="A189" s="383"/>
      <c r="B189" s="384"/>
      <c r="C189" s="385"/>
      <c r="D189" s="385"/>
      <c r="E189" s="385"/>
      <c r="F189" s="385"/>
      <c r="G189" s="385"/>
      <c r="H189" s="385"/>
      <c r="I189" s="385"/>
      <c r="J189" s="385"/>
      <c r="K189" s="385"/>
      <c r="L189" s="375"/>
      <c r="M189" s="375"/>
      <c r="N189" s="376"/>
      <c r="O189" s="376"/>
      <c r="P189" s="376"/>
      <c r="Q189" s="376"/>
      <c r="R189" s="376"/>
      <c r="S189" s="376"/>
    </row>
    <row r="190" spans="1:19" ht="15.75" x14ac:dyDescent="0.25">
      <c r="A190" s="381" t="s">
        <v>752</v>
      </c>
      <c r="B190" s="379"/>
      <c r="C190" s="372"/>
      <c r="D190" s="373"/>
      <c r="E190" s="373"/>
      <c r="F190" s="373"/>
      <c r="G190" s="373"/>
      <c r="H190" s="374"/>
      <c r="I190" s="375"/>
      <c r="J190" s="375"/>
      <c r="K190" s="374"/>
      <c r="L190" s="375"/>
      <c r="M190" s="375"/>
      <c r="N190" s="376"/>
      <c r="O190" s="376"/>
      <c r="P190" s="376"/>
      <c r="Q190" s="376"/>
      <c r="R190" s="376"/>
      <c r="S190" s="376"/>
    </row>
    <row r="191" spans="1:19" ht="15" x14ac:dyDescent="0.25">
      <c r="A191" s="390" t="s">
        <v>753</v>
      </c>
      <c r="B191" s="391"/>
      <c r="C191" s="392" t="s">
        <v>754</v>
      </c>
      <c r="D191" s="393" t="s">
        <v>755</v>
      </c>
      <c r="E191" s="394" t="s">
        <v>756</v>
      </c>
      <c r="F191" s="373"/>
      <c r="G191" s="373"/>
      <c r="H191" s="374"/>
      <c r="I191" s="375"/>
      <c r="J191" s="375"/>
      <c r="K191" s="374"/>
      <c r="L191" s="375"/>
      <c r="M191" s="375"/>
      <c r="N191" s="376"/>
      <c r="O191" s="376"/>
      <c r="P191" s="376"/>
      <c r="Q191" s="376"/>
      <c r="R191" s="376"/>
      <c r="S191" s="376"/>
    </row>
    <row r="192" spans="1:19" ht="15" x14ac:dyDescent="0.25">
      <c r="A192" s="390" t="s">
        <v>757</v>
      </c>
      <c r="B192" s="391"/>
      <c r="C192" s="392" t="s">
        <v>758</v>
      </c>
      <c r="D192" s="393" t="s">
        <v>759</v>
      </c>
      <c r="E192" s="394" t="s">
        <v>756</v>
      </c>
      <c r="F192" s="373"/>
      <c r="G192" s="373"/>
      <c r="H192" s="374"/>
      <c r="I192" s="375"/>
      <c r="J192" s="375"/>
      <c r="K192" s="374"/>
      <c r="L192" s="375"/>
      <c r="M192" s="375"/>
      <c r="N192" s="376"/>
      <c r="O192" s="376"/>
      <c r="P192" s="376"/>
      <c r="Q192" s="376"/>
      <c r="R192" s="376"/>
      <c r="S192" s="376"/>
    </row>
    <row r="193" spans="1:19" x14ac:dyDescent="0.2">
      <c r="A193" s="383"/>
      <c r="B193" s="379"/>
      <c r="C193" s="372"/>
      <c r="D193" s="373"/>
      <c r="E193" s="373"/>
      <c r="F193" s="373"/>
      <c r="G193" s="373"/>
      <c r="H193" s="374"/>
      <c r="I193" s="375"/>
      <c r="J193" s="375"/>
      <c r="K193" s="374"/>
      <c r="L193" s="375"/>
      <c r="M193" s="375"/>
      <c r="N193" s="376"/>
      <c r="O193" s="376"/>
      <c r="P193" s="376"/>
      <c r="Q193" s="376"/>
      <c r="R193" s="376"/>
      <c r="S193" s="376"/>
    </row>
    <row r="194" spans="1:19" ht="15.75" x14ac:dyDescent="0.25">
      <c r="A194" s="381" t="s">
        <v>760</v>
      </c>
      <c r="B194" s="379"/>
      <c r="C194" s="372"/>
      <c r="D194" s="373"/>
      <c r="E194" s="373"/>
      <c r="F194" s="373"/>
      <c r="G194" s="373"/>
      <c r="H194" s="374"/>
      <c r="I194" s="375"/>
      <c r="J194" s="375"/>
      <c r="K194" s="374"/>
      <c r="L194" s="375"/>
      <c r="M194" s="375"/>
      <c r="N194" s="376"/>
      <c r="O194" s="376"/>
      <c r="P194" s="376"/>
      <c r="Q194" s="376"/>
      <c r="R194" s="376"/>
      <c r="S194" s="376"/>
    </row>
    <row r="195" spans="1:19" x14ac:dyDescent="0.2">
      <c r="A195" s="383" t="s">
        <v>761</v>
      </c>
      <c r="B195" s="379"/>
      <c r="C195" s="372"/>
      <c r="D195" s="373"/>
      <c r="E195" s="373"/>
      <c r="F195" s="373"/>
      <c r="G195" s="373"/>
      <c r="H195" s="374"/>
      <c r="I195" s="375"/>
      <c r="J195" s="375"/>
      <c r="K195" s="374"/>
      <c r="L195" s="375"/>
      <c r="M195" s="375"/>
      <c r="N195" s="376"/>
      <c r="O195" s="376"/>
      <c r="P195" s="376"/>
      <c r="Q195" s="376"/>
      <c r="R195" s="376"/>
      <c r="S195" s="376"/>
    </row>
    <row r="196" spans="1:19" x14ac:dyDescent="0.2">
      <c r="A196" s="383"/>
      <c r="B196" s="379"/>
      <c r="C196" s="372"/>
      <c r="D196" s="373"/>
      <c r="E196" s="373"/>
      <c r="F196" s="373"/>
      <c r="G196" s="373"/>
      <c r="H196" s="374"/>
      <c r="I196" s="375"/>
      <c r="J196" s="375"/>
      <c r="K196" s="374"/>
      <c r="L196" s="375"/>
      <c r="M196" s="375"/>
      <c r="N196" s="376"/>
      <c r="O196" s="376"/>
      <c r="P196" s="376"/>
      <c r="Q196" s="376"/>
      <c r="R196" s="376"/>
      <c r="S196" s="376"/>
    </row>
    <row r="197" spans="1:19" ht="15.75" x14ac:dyDescent="0.25">
      <c r="A197" s="381" t="s">
        <v>762</v>
      </c>
      <c r="B197" s="379"/>
      <c r="C197" s="372"/>
      <c r="D197" s="373"/>
      <c r="E197" s="373"/>
      <c r="F197" s="373"/>
      <c r="G197" s="373"/>
      <c r="H197" s="374"/>
      <c r="I197" s="375"/>
      <c r="J197" s="375"/>
      <c r="K197" s="374"/>
      <c r="L197" s="375"/>
      <c r="M197" s="375"/>
      <c r="N197" s="376"/>
      <c r="O197" s="376"/>
      <c r="P197" s="376"/>
      <c r="Q197" s="376"/>
      <c r="R197" s="376"/>
      <c r="S197" s="376"/>
    </row>
    <row r="198" spans="1:19" x14ac:dyDescent="0.2">
      <c r="A198" s="383" t="s">
        <v>763</v>
      </c>
      <c r="B198" s="379"/>
      <c r="C198" s="372"/>
      <c r="D198" s="373"/>
      <c r="E198" s="373"/>
      <c r="F198" s="373"/>
      <c r="G198" s="373"/>
      <c r="H198" s="374"/>
      <c r="I198" s="375"/>
      <c r="J198" s="375"/>
      <c r="K198" s="374"/>
      <c r="L198" s="375"/>
      <c r="M198" s="375"/>
      <c r="N198" s="376"/>
      <c r="O198" s="376"/>
      <c r="P198" s="376"/>
      <c r="Q198" s="376"/>
      <c r="R198" s="376"/>
      <c r="S198" s="376"/>
    </row>
    <row r="199" spans="1:19" x14ac:dyDescent="0.2">
      <c r="A199" s="383" t="s">
        <v>764</v>
      </c>
      <c r="B199" s="379"/>
      <c r="C199" s="372"/>
      <c r="D199" s="373"/>
      <c r="E199" s="373"/>
      <c r="F199" s="373"/>
      <c r="G199" s="373"/>
      <c r="H199" s="374"/>
      <c r="I199" s="375"/>
      <c r="J199" s="375"/>
      <c r="K199" s="374"/>
      <c r="L199" s="375"/>
      <c r="M199" s="375"/>
      <c r="N199" s="376"/>
      <c r="O199" s="376"/>
      <c r="P199" s="376"/>
      <c r="Q199" s="376"/>
      <c r="R199" s="376"/>
      <c r="S199" s="376"/>
    </row>
    <row r="200" spans="1:19" x14ac:dyDescent="0.2">
      <c r="A200" s="383" t="s">
        <v>765</v>
      </c>
      <c r="B200" s="379"/>
      <c r="C200" s="372"/>
      <c r="D200" s="373"/>
      <c r="E200" s="373"/>
      <c r="F200" s="373"/>
      <c r="G200" s="373"/>
      <c r="H200" s="374"/>
      <c r="I200" s="375"/>
      <c r="J200" s="375"/>
      <c r="K200" s="374"/>
      <c r="L200" s="375"/>
      <c r="M200" s="375"/>
      <c r="N200" s="376"/>
      <c r="O200" s="376"/>
      <c r="P200" s="376"/>
      <c r="Q200" s="376"/>
      <c r="R200" s="376"/>
      <c r="S200" s="376"/>
    </row>
    <row r="201" spans="1:19" x14ac:dyDescent="0.2">
      <c r="A201" s="383"/>
      <c r="B201" s="379"/>
      <c r="C201" s="372"/>
      <c r="D201" s="373"/>
      <c r="E201" s="373"/>
      <c r="F201" s="373"/>
      <c r="G201" s="373"/>
      <c r="H201" s="374"/>
      <c r="I201" s="375"/>
      <c r="J201" s="375"/>
      <c r="K201" s="374"/>
      <c r="L201" s="375"/>
      <c r="M201" s="375"/>
      <c r="N201" s="376"/>
      <c r="O201" s="376"/>
      <c r="P201" s="376"/>
      <c r="Q201" s="376"/>
      <c r="R201" s="376"/>
      <c r="S201" s="376"/>
    </row>
    <row r="202" spans="1:19" ht="15.75" x14ac:dyDescent="0.25">
      <c r="A202" s="381" t="s">
        <v>766</v>
      </c>
      <c r="B202" s="395"/>
      <c r="C202" s="383"/>
      <c r="D202" s="383"/>
      <c r="E202" s="383"/>
      <c r="F202" s="383"/>
      <c r="G202" s="383"/>
      <c r="H202" s="383"/>
      <c r="I202" s="383"/>
      <c r="J202" s="383"/>
      <c r="K202" s="383"/>
      <c r="L202" s="383"/>
      <c r="M202" s="383"/>
      <c r="N202" s="383"/>
      <c r="O202" s="383"/>
      <c r="P202" s="376"/>
      <c r="Q202" s="376"/>
      <c r="R202" s="376"/>
      <c r="S202" s="376"/>
    </row>
    <row r="203" spans="1:19" x14ac:dyDescent="0.2">
      <c r="A203" s="383" t="s">
        <v>767</v>
      </c>
      <c r="B203" s="395"/>
      <c r="C203" s="383"/>
      <c r="D203" s="383"/>
      <c r="E203" s="383"/>
      <c r="F203" s="383"/>
      <c r="G203" s="1822"/>
      <c r="H203" s="1822"/>
      <c r="I203" s="1823"/>
      <c r="J203" s="1823"/>
      <c r="K203" s="1823"/>
      <c r="L203" s="1823"/>
      <c r="M203" s="1823"/>
      <c r="N203" s="1823"/>
      <c r="O203" s="396"/>
      <c r="P203" s="383"/>
      <c r="Q203" s="383"/>
      <c r="R203" s="383"/>
      <c r="S203" s="383"/>
    </row>
    <row r="204" spans="1:19" x14ac:dyDescent="0.2">
      <c r="A204" s="383" t="s">
        <v>768</v>
      </c>
      <c r="B204" s="395"/>
      <c r="C204" s="383"/>
      <c r="D204" s="383"/>
      <c r="E204" s="383"/>
      <c r="F204" s="383"/>
      <c r="G204" s="383"/>
      <c r="H204" s="383"/>
      <c r="I204" s="383"/>
      <c r="J204" s="383"/>
      <c r="K204" s="383"/>
      <c r="L204" s="383"/>
      <c r="M204" s="383"/>
      <c r="N204" s="383"/>
      <c r="O204" s="383"/>
      <c r="P204" s="397"/>
      <c r="Q204" s="383"/>
      <c r="R204" s="383"/>
      <c r="S204" s="383"/>
    </row>
    <row r="205" spans="1:19" x14ac:dyDescent="0.2">
      <c r="A205" s="383" t="s">
        <v>769</v>
      </c>
      <c r="B205" s="395"/>
      <c r="C205" s="383"/>
      <c r="D205" s="383"/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383"/>
      <c r="Q205" s="383"/>
      <c r="R205" s="383"/>
      <c r="S205" s="383"/>
    </row>
    <row r="206" spans="1:19" x14ac:dyDescent="0.2">
      <c r="A206" s="383" t="s">
        <v>770</v>
      </c>
      <c r="B206" s="395"/>
      <c r="C206" s="383"/>
      <c r="D206" s="383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383"/>
      <c r="Q206" s="383"/>
      <c r="R206" s="383"/>
      <c r="S206" s="383"/>
    </row>
    <row r="207" spans="1:19" x14ac:dyDescent="0.2">
      <c r="A207" s="383"/>
      <c r="B207" s="395"/>
      <c r="C207" s="383"/>
      <c r="D207" s="383"/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383"/>
      <c r="Q207" s="383"/>
      <c r="R207" s="383"/>
      <c r="S207" s="383"/>
    </row>
    <row r="208" spans="1:19" ht="15.75" x14ac:dyDescent="0.25">
      <c r="A208" s="381" t="s">
        <v>771</v>
      </c>
      <c r="B208" s="395"/>
      <c r="C208" s="383"/>
      <c r="D208" s="383"/>
      <c r="E208" s="383"/>
      <c r="F208" s="383"/>
      <c r="G208" s="383"/>
      <c r="H208" s="383"/>
      <c r="I208" s="383"/>
      <c r="J208" s="383"/>
      <c r="K208" s="383"/>
      <c r="P208" s="383"/>
      <c r="Q208" s="383"/>
      <c r="R208" s="383"/>
      <c r="S208" s="383"/>
    </row>
    <row r="209" spans="1:41" x14ac:dyDescent="0.2">
      <c r="A209" s="383" t="s">
        <v>772</v>
      </c>
      <c r="B209" s="395"/>
      <c r="C209" s="383"/>
      <c r="D209" s="383"/>
      <c r="E209" s="383" t="s">
        <v>773</v>
      </c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383"/>
      <c r="S209" s="383"/>
    </row>
    <row r="210" spans="1:41" x14ac:dyDescent="0.2">
      <c r="A210" s="383" t="s">
        <v>774</v>
      </c>
      <c r="B210" s="395"/>
      <c r="C210" s="383"/>
      <c r="D210" s="383"/>
      <c r="E210" s="383"/>
      <c r="F210" s="383"/>
      <c r="G210" s="383"/>
      <c r="H210" s="383"/>
      <c r="I210" s="383"/>
      <c r="J210" s="383"/>
      <c r="K210" s="383"/>
      <c r="L210" s="383"/>
      <c r="M210" s="383"/>
      <c r="N210" s="383"/>
      <c r="O210" s="383"/>
      <c r="P210" s="383"/>
      <c r="Q210" s="383"/>
      <c r="R210" s="383"/>
      <c r="S210" s="383"/>
    </row>
    <row r="211" spans="1:41" x14ac:dyDescent="0.2">
      <c r="A211" s="383"/>
      <c r="B211" s="395"/>
      <c r="C211" s="383"/>
      <c r="D211" s="383"/>
      <c r="E211" s="383"/>
      <c r="F211" s="383"/>
      <c r="G211" s="383"/>
      <c r="H211" s="383"/>
      <c r="I211" s="383"/>
      <c r="J211" s="383"/>
      <c r="K211" s="383"/>
      <c r="L211" s="383"/>
      <c r="M211" s="383"/>
      <c r="N211" s="383"/>
      <c r="O211" s="383"/>
      <c r="P211" s="383"/>
      <c r="Q211" s="383"/>
      <c r="R211" s="383"/>
      <c r="S211" s="383"/>
    </row>
    <row r="212" spans="1:41" ht="21" x14ac:dyDescent="0.35">
      <c r="A212" s="398"/>
      <c r="B212" s="399" t="s">
        <v>775</v>
      </c>
      <c r="C212" s="398"/>
      <c r="D212" s="398"/>
      <c r="E212" s="398"/>
      <c r="F212" s="398"/>
      <c r="G212" s="398" t="s">
        <v>776</v>
      </c>
      <c r="H212" s="398"/>
      <c r="I212" s="398"/>
      <c r="J212" s="400"/>
      <c r="K212" s="400"/>
      <c r="L212" s="400"/>
      <c r="M212" s="400"/>
      <c r="N212" s="400"/>
      <c r="O212" s="401"/>
      <c r="P212" s="401"/>
      <c r="Q212" s="401"/>
      <c r="R212" s="401"/>
      <c r="S212" s="401"/>
      <c r="T212" s="401"/>
      <c r="U212" s="401"/>
      <c r="V212" s="401"/>
      <c r="W212" s="401"/>
      <c r="X212" s="401"/>
      <c r="Y212" s="401"/>
      <c r="Z212" s="401"/>
      <c r="AA212" s="401"/>
      <c r="AB212" s="401"/>
      <c r="AC212" s="401"/>
      <c r="AD212" s="401"/>
      <c r="AE212" s="401"/>
      <c r="AF212" s="401"/>
      <c r="AG212" s="401"/>
      <c r="AH212" s="401"/>
      <c r="AI212" s="401"/>
      <c r="AJ212" s="401"/>
      <c r="AK212" s="401"/>
      <c r="AL212" s="401"/>
      <c r="AM212" s="401"/>
      <c r="AN212" s="401"/>
      <c r="AO212" s="401"/>
    </row>
    <row r="213" spans="1:41" x14ac:dyDescent="0.2">
      <c r="A213" s="402"/>
      <c r="C213" s="402"/>
      <c r="D213" s="402"/>
      <c r="E213" s="402"/>
      <c r="F213" s="402"/>
      <c r="G213" s="402"/>
      <c r="H213" s="402"/>
      <c r="I213" s="402"/>
      <c r="L213" t="s">
        <v>777</v>
      </c>
      <c r="O213" s="401"/>
      <c r="P213" s="401"/>
      <c r="Q213" s="401"/>
      <c r="R213" s="401"/>
      <c r="S213" s="401"/>
      <c r="T213" s="401"/>
      <c r="U213" s="401"/>
      <c r="V213" s="401"/>
      <c r="W213" s="401"/>
      <c r="X213" s="401"/>
      <c r="Y213" s="401"/>
      <c r="Z213" s="401"/>
      <c r="AA213" s="401"/>
      <c r="AB213" s="401"/>
      <c r="AC213" s="401"/>
      <c r="AD213" s="401"/>
      <c r="AE213" s="401"/>
      <c r="AF213" s="401"/>
      <c r="AG213" s="401"/>
      <c r="AH213" s="401"/>
      <c r="AI213" s="401"/>
      <c r="AJ213" s="401"/>
      <c r="AK213" s="401"/>
      <c r="AL213" s="401"/>
      <c r="AM213" s="401"/>
      <c r="AN213" s="401"/>
      <c r="AO213" s="401"/>
    </row>
    <row r="214" spans="1:41" ht="15" x14ac:dyDescent="0.25">
      <c r="A214" s="403" t="s">
        <v>778</v>
      </c>
      <c r="B214" s="1824" t="s">
        <v>779</v>
      </c>
      <c r="C214" s="1825"/>
      <c r="D214" s="403" t="s">
        <v>82</v>
      </c>
      <c r="E214" s="403" t="s">
        <v>780</v>
      </c>
      <c r="F214" s="403" t="s">
        <v>781</v>
      </c>
      <c r="G214" s="404" t="s">
        <v>782</v>
      </c>
      <c r="H214" s="405" t="s">
        <v>783</v>
      </c>
      <c r="I214" s="406" t="s">
        <v>337</v>
      </c>
      <c r="J214" s="406" t="s">
        <v>145</v>
      </c>
      <c r="K214" s="406" t="s">
        <v>784</v>
      </c>
      <c r="L214" s="406" t="s">
        <v>785</v>
      </c>
      <c r="M214" s="403" t="s">
        <v>695</v>
      </c>
      <c r="N214" s="1826" t="s">
        <v>704</v>
      </c>
      <c r="O214" s="1827"/>
      <c r="P214" s="401"/>
      <c r="Q214" s="401"/>
      <c r="R214" s="401"/>
      <c r="S214" s="401"/>
      <c r="T214" s="401"/>
      <c r="U214" s="401"/>
      <c r="V214" s="401"/>
      <c r="W214" s="401"/>
      <c r="X214" s="401"/>
      <c r="Y214" s="401"/>
      <c r="Z214" s="401"/>
      <c r="AA214" s="401"/>
      <c r="AB214" s="401"/>
      <c r="AC214" s="401"/>
      <c r="AD214" s="401"/>
      <c r="AE214" s="401"/>
      <c r="AF214" s="401"/>
      <c r="AG214" s="401"/>
      <c r="AH214" s="401"/>
      <c r="AI214" s="401"/>
      <c r="AJ214" s="401"/>
      <c r="AK214" s="401"/>
      <c r="AL214" s="401"/>
      <c r="AM214" s="401"/>
      <c r="AN214" s="401"/>
      <c r="AO214" s="401"/>
    </row>
    <row r="215" spans="1:41" x14ac:dyDescent="0.2">
      <c r="A215" s="407">
        <v>1</v>
      </c>
      <c r="B215" s="1828" t="s">
        <v>786</v>
      </c>
      <c r="C215" s="1828"/>
      <c r="D215" s="408">
        <v>40627</v>
      </c>
      <c r="E215" s="409">
        <v>18</v>
      </c>
      <c r="F215" s="408">
        <v>40683</v>
      </c>
      <c r="G215" s="409">
        <v>6</v>
      </c>
      <c r="H215" s="407">
        <v>5</v>
      </c>
      <c r="I215" s="407">
        <v>1</v>
      </c>
      <c r="J215" s="407"/>
      <c r="K215" s="410"/>
      <c r="L215" s="410"/>
      <c r="M215" s="409">
        <f>E215-G215</f>
        <v>12</v>
      </c>
      <c r="N215" s="407" t="s">
        <v>787</v>
      </c>
      <c r="O215" s="410" t="s">
        <v>788</v>
      </c>
      <c r="P215" s="401"/>
      <c r="Q215" s="401"/>
      <c r="R215" s="401"/>
      <c r="S215" s="401"/>
      <c r="T215" s="401"/>
      <c r="U215" s="401"/>
      <c r="V215" s="401"/>
      <c r="W215" s="401"/>
      <c r="X215" s="401"/>
      <c r="Y215" s="401"/>
      <c r="Z215" s="401"/>
      <c r="AA215" s="401"/>
      <c r="AB215" s="401"/>
      <c r="AC215" s="401"/>
      <c r="AD215" s="401"/>
      <c r="AE215" s="401"/>
      <c r="AF215" s="401"/>
      <c r="AG215" s="401"/>
      <c r="AH215" s="401"/>
      <c r="AI215" s="401"/>
      <c r="AJ215" s="401"/>
      <c r="AK215" s="401"/>
      <c r="AL215" s="401"/>
      <c r="AM215" s="401"/>
      <c r="AN215" s="401"/>
      <c r="AO215" s="401"/>
    </row>
    <row r="216" spans="1:41" x14ac:dyDescent="0.2">
      <c r="A216" s="407">
        <v>2</v>
      </c>
      <c r="B216" s="1828" t="s">
        <v>789</v>
      </c>
      <c r="C216" s="1828"/>
      <c r="D216" s="408">
        <v>40627</v>
      </c>
      <c r="E216" s="409">
        <v>2</v>
      </c>
      <c r="F216" s="407"/>
      <c r="G216" s="409"/>
      <c r="H216" s="407"/>
      <c r="I216" s="407"/>
      <c r="J216" s="407"/>
      <c r="K216" s="410"/>
      <c r="L216" s="410"/>
      <c r="M216" s="409">
        <f>E216-G216</f>
        <v>2</v>
      </c>
      <c r="N216" s="407" t="s">
        <v>787</v>
      </c>
      <c r="O216" s="410" t="s">
        <v>788</v>
      </c>
      <c r="P216" s="401"/>
      <c r="Q216" s="401"/>
      <c r="R216" s="401"/>
      <c r="S216" s="401"/>
      <c r="T216" s="401"/>
      <c r="U216" s="401"/>
      <c r="V216" s="401"/>
      <c r="W216" s="401"/>
      <c r="X216" s="401"/>
      <c r="Y216" s="401"/>
      <c r="Z216" s="401"/>
      <c r="AA216" s="401"/>
      <c r="AB216" s="401"/>
      <c r="AC216" s="401"/>
      <c r="AD216" s="401"/>
      <c r="AE216" s="401"/>
      <c r="AF216" s="401"/>
      <c r="AG216" s="401"/>
      <c r="AH216" s="401"/>
      <c r="AI216" s="401"/>
      <c r="AJ216" s="401"/>
      <c r="AK216" s="401"/>
      <c r="AL216" s="401"/>
      <c r="AM216" s="401"/>
      <c r="AN216" s="401"/>
      <c r="AO216" s="401"/>
    </row>
    <row r="217" spans="1:41" x14ac:dyDescent="0.2">
      <c r="A217" s="407">
        <v>3</v>
      </c>
      <c r="B217" s="411" t="s">
        <v>790</v>
      </c>
      <c r="C217" s="412"/>
      <c r="D217" s="408">
        <v>40627</v>
      </c>
      <c r="E217" s="409">
        <v>32</v>
      </c>
      <c r="F217" s="407"/>
      <c r="G217" s="409"/>
      <c r="H217" s="407"/>
      <c r="I217" s="407"/>
      <c r="J217" s="407"/>
      <c r="K217" s="410"/>
      <c r="L217" s="410"/>
      <c r="M217" s="409">
        <f>E217-G217</f>
        <v>32</v>
      </c>
      <c r="N217" s="407" t="s">
        <v>787</v>
      </c>
      <c r="O217" s="410" t="s">
        <v>788</v>
      </c>
      <c r="P217" s="401"/>
      <c r="Q217" s="401"/>
      <c r="R217" s="401"/>
      <c r="S217" s="401"/>
      <c r="T217" s="401"/>
      <c r="U217" s="401"/>
      <c r="V217" s="401"/>
      <c r="W217" s="401"/>
      <c r="X217" s="401"/>
      <c r="Y217" s="401"/>
      <c r="Z217" s="401"/>
      <c r="AA217" s="401"/>
      <c r="AB217" s="401"/>
      <c r="AC217" s="401"/>
      <c r="AD217" s="401"/>
      <c r="AE217" s="401"/>
      <c r="AF217" s="401"/>
      <c r="AG217" s="401"/>
      <c r="AH217" s="401"/>
      <c r="AI217" s="401"/>
      <c r="AJ217" s="401"/>
      <c r="AK217" s="401"/>
      <c r="AL217" s="401"/>
      <c r="AM217" s="401"/>
      <c r="AN217" s="401"/>
      <c r="AO217" s="401"/>
    </row>
    <row r="218" spans="1:41" x14ac:dyDescent="0.2">
      <c r="A218" s="413">
        <v>4</v>
      </c>
      <c r="B218" s="1828" t="s">
        <v>791</v>
      </c>
      <c r="C218" s="1828"/>
      <c r="D218" s="408">
        <v>40627</v>
      </c>
      <c r="E218" s="409">
        <v>20</v>
      </c>
      <c r="F218" s="407"/>
      <c r="G218" s="409"/>
      <c r="H218" s="407"/>
      <c r="I218" s="407"/>
      <c r="J218" s="407"/>
      <c r="K218" s="410"/>
      <c r="L218" s="410"/>
      <c r="M218" s="409">
        <f t="shared" ref="M218:M226" si="29">E218-G218</f>
        <v>20</v>
      </c>
      <c r="N218" s="407" t="s">
        <v>787</v>
      </c>
      <c r="O218" s="410" t="s">
        <v>788</v>
      </c>
      <c r="P218" s="401"/>
      <c r="Q218" s="401"/>
      <c r="R218" s="401"/>
      <c r="S218" s="401"/>
      <c r="T218" s="401"/>
      <c r="U218" s="401"/>
      <c r="V218" s="401"/>
      <c r="W218" s="401"/>
      <c r="X218" s="401"/>
      <c r="Y218" s="401"/>
      <c r="Z218" s="401"/>
      <c r="AA218" s="401"/>
      <c r="AB218" s="401"/>
      <c r="AC218" s="401"/>
      <c r="AD218" s="401"/>
      <c r="AE218" s="401"/>
      <c r="AF218" s="401"/>
      <c r="AG218" s="401"/>
      <c r="AH218" s="401"/>
      <c r="AI218" s="401"/>
      <c r="AJ218" s="401"/>
      <c r="AK218" s="401"/>
      <c r="AL218" s="401"/>
      <c r="AM218" s="401"/>
      <c r="AN218" s="401"/>
      <c r="AO218" s="401"/>
    </row>
    <row r="219" spans="1:41" x14ac:dyDescent="0.2">
      <c r="A219" s="407">
        <v>5</v>
      </c>
      <c r="B219" s="1829" t="s">
        <v>792</v>
      </c>
      <c r="C219" s="1829"/>
      <c r="D219" s="408">
        <v>40627</v>
      </c>
      <c r="E219" s="409">
        <v>13</v>
      </c>
      <c r="F219" s="408">
        <v>40647</v>
      </c>
      <c r="G219" s="409">
        <v>1</v>
      </c>
      <c r="H219" s="407">
        <v>1</v>
      </c>
      <c r="I219" s="407"/>
      <c r="J219" s="407"/>
      <c r="K219" s="410"/>
      <c r="L219" s="410"/>
      <c r="M219" s="409">
        <f t="shared" si="29"/>
        <v>12</v>
      </c>
      <c r="N219" s="407" t="s">
        <v>787</v>
      </c>
      <c r="O219" s="410" t="s">
        <v>788</v>
      </c>
      <c r="P219" s="401"/>
      <c r="Q219" s="401"/>
      <c r="R219" s="401"/>
      <c r="S219" s="401"/>
      <c r="T219" s="401"/>
      <c r="U219" s="401"/>
      <c r="V219" s="401"/>
      <c r="W219" s="401"/>
      <c r="X219" s="401"/>
      <c r="Y219" s="401"/>
      <c r="Z219" s="401"/>
      <c r="AA219" s="401"/>
      <c r="AB219" s="401"/>
      <c r="AC219" s="401"/>
      <c r="AD219" s="401"/>
      <c r="AE219" s="401"/>
      <c r="AF219" s="401"/>
      <c r="AG219" s="401"/>
      <c r="AH219" s="401"/>
      <c r="AI219" s="401"/>
      <c r="AJ219" s="401"/>
      <c r="AK219" s="401"/>
      <c r="AL219" s="401"/>
      <c r="AM219" s="401"/>
      <c r="AN219" s="401"/>
      <c r="AO219" s="401"/>
    </row>
    <row r="220" spans="1:41" x14ac:dyDescent="0.2">
      <c r="A220" s="407">
        <v>6</v>
      </c>
      <c r="B220" s="1830" t="s">
        <v>793</v>
      </c>
      <c r="C220" s="1830"/>
      <c r="D220" s="408">
        <v>40627</v>
      </c>
      <c r="E220" s="409">
        <v>7</v>
      </c>
      <c r="F220" s="408">
        <v>40654</v>
      </c>
      <c r="G220" s="409">
        <v>0.5</v>
      </c>
      <c r="H220" s="407">
        <v>0.5</v>
      </c>
      <c r="I220" s="407"/>
      <c r="J220" s="407"/>
      <c r="K220" s="410"/>
      <c r="L220" s="410"/>
      <c r="M220" s="409">
        <f t="shared" si="29"/>
        <v>6.5</v>
      </c>
      <c r="N220" s="407" t="s">
        <v>787</v>
      </c>
      <c r="O220" s="410" t="s">
        <v>794</v>
      </c>
      <c r="P220" s="401"/>
      <c r="Q220" s="401"/>
      <c r="R220" s="401"/>
      <c r="S220" s="401"/>
      <c r="T220" s="401"/>
      <c r="U220" s="401"/>
      <c r="V220" s="401"/>
      <c r="W220" s="401"/>
      <c r="X220" s="401"/>
      <c r="Y220" s="401"/>
      <c r="Z220" s="401"/>
      <c r="AA220" s="401"/>
      <c r="AB220" s="401"/>
      <c r="AC220" s="401"/>
      <c r="AD220" s="401"/>
      <c r="AE220" s="401"/>
      <c r="AF220" s="401"/>
      <c r="AG220" s="401"/>
      <c r="AH220" s="401"/>
      <c r="AI220" s="401"/>
      <c r="AJ220" s="401"/>
      <c r="AK220" s="401"/>
      <c r="AL220" s="401"/>
      <c r="AM220" s="401"/>
      <c r="AN220" s="401"/>
      <c r="AO220" s="401"/>
    </row>
    <row r="221" spans="1:41" x14ac:dyDescent="0.2">
      <c r="A221" s="413">
        <v>7</v>
      </c>
      <c r="B221" s="1830" t="s">
        <v>795</v>
      </c>
      <c r="C221" s="1830"/>
      <c r="D221" s="408">
        <v>40627</v>
      </c>
      <c r="E221" s="409">
        <v>5</v>
      </c>
      <c r="F221" s="408">
        <v>40654</v>
      </c>
      <c r="G221" s="409">
        <v>0.5</v>
      </c>
      <c r="H221" s="407">
        <v>0.5</v>
      </c>
      <c r="I221" s="407"/>
      <c r="J221" s="407"/>
      <c r="K221" s="410"/>
      <c r="L221" s="410"/>
      <c r="M221" s="409">
        <f>E221-G221</f>
        <v>4.5</v>
      </c>
      <c r="N221" s="407" t="s">
        <v>787</v>
      </c>
      <c r="O221" s="410" t="s">
        <v>794</v>
      </c>
      <c r="P221" s="401"/>
      <c r="Q221" s="401"/>
      <c r="R221" s="401"/>
      <c r="S221" s="401"/>
      <c r="T221" s="401"/>
      <c r="U221" s="401"/>
      <c r="V221" s="401"/>
      <c r="W221" s="401"/>
      <c r="X221" s="401"/>
      <c r="Y221" s="401"/>
      <c r="Z221" s="401"/>
      <c r="AA221" s="401"/>
      <c r="AB221" s="401"/>
      <c r="AC221" s="401"/>
      <c r="AD221" s="401"/>
      <c r="AE221" s="401"/>
      <c r="AF221" s="401"/>
      <c r="AG221" s="401"/>
      <c r="AH221" s="401"/>
      <c r="AI221" s="401"/>
      <c r="AJ221" s="401"/>
      <c r="AK221" s="401"/>
      <c r="AL221" s="401"/>
      <c r="AM221" s="401"/>
      <c r="AN221" s="401"/>
      <c r="AO221" s="401"/>
    </row>
    <row r="222" spans="1:41" x14ac:dyDescent="0.2">
      <c r="A222" s="407">
        <v>8</v>
      </c>
      <c r="B222" s="1830" t="s">
        <v>796</v>
      </c>
      <c r="C222" s="1830"/>
      <c r="D222" s="408">
        <v>40627</v>
      </c>
      <c r="E222" s="409">
        <v>0.25</v>
      </c>
      <c r="F222" s="407"/>
      <c r="G222" s="409"/>
      <c r="H222" s="407"/>
      <c r="I222" s="407"/>
      <c r="J222" s="407"/>
      <c r="K222" s="410"/>
      <c r="L222" s="410"/>
      <c r="M222" s="409">
        <f t="shared" si="29"/>
        <v>0.25</v>
      </c>
      <c r="N222" s="407" t="s">
        <v>787</v>
      </c>
      <c r="O222" s="410" t="s">
        <v>794</v>
      </c>
      <c r="P222" s="401"/>
      <c r="Q222" s="401"/>
      <c r="R222" s="401"/>
      <c r="S222" s="401"/>
      <c r="T222" s="401"/>
      <c r="U222" s="401"/>
      <c r="V222" s="401"/>
      <c r="W222" s="401"/>
      <c r="X222" s="401"/>
      <c r="Y222" s="401"/>
      <c r="Z222" s="401"/>
      <c r="AA222" s="401"/>
      <c r="AB222" s="401"/>
      <c r="AC222" s="401"/>
      <c r="AD222" s="401"/>
      <c r="AE222" s="401"/>
      <c r="AF222" s="401"/>
      <c r="AG222" s="401"/>
      <c r="AH222" s="401"/>
      <c r="AI222" s="401"/>
      <c r="AJ222" s="401"/>
      <c r="AK222" s="401"/>
      <c r="AL222" s="401"/>
      <c r="AM222" s="401"/>
      <c r="AN222" s="401"/>
      <c r="AO222" s="401"/>
    </row>
    <row r="223" spans="1:41" x14ac:dyDescent="0.2">
      <c r="A223" s="407">
        <v>9</v>
      </c>
      <c r="B223" s="1831" t="s">
        <v>797</v>
      </c>
      <c r="C223" s="1831"/>
      <c r="D223" s="408">
        <v>40627</v>
      </c>
      <c r="E223" s="409">
        <v>20</v>
      </c>
      <c r="F223" s="407"/>
      <c r="G223" s="409"/>
      <c r="H223" s="407"/>
      <c r="I223" s="407"/>
      <c r="J223" s="407"/>
      <c r="K223" s="410"/>
      <c r="L223" s="410"/>
      <c r="M223" s="409">
        <f t="shared" si="29"/>
        <v>20</v>
      </c>
      <c r="N223" s="407" t="s">
        <v>787</v>
      </c>
      <c r="O223" s="410" t="s">
        <v>788</v>
      </c>
      <c r="P223" s="401"/>
      <c r="Q223" s="401"/>
      <c r="R223" s="401"/>
      <c r="S223" s="401"/>
      <c r="T223" s="401"/>
      <c r="U223" s="401"/>
      <c r="V223" s="401"/>
      <c r="W223" s="401"/>
      <c r="X223" s="401"/>
      <c r="Y223" s="401"/>
      <c r="Z223" s="401"/>
      <c r="AA223" s="401"/>
      <c r="AB223" s="401"/>
      <c r="AC223" s="401"/>
      <c r="AD223" s="401"/>
      <c r="AE223" s="401"/>
      <c r="AF223" s="401"/>
      <c r="AG223" s="401"/>
      <c r="AH223" s="401"/>
      <c r="AI223" s="401"/>
      <c r="AJ223" s="401"/>
      <c r="AK223" s="401"/>
      <c r="AL223" s="401"/>
      <c r="AM223" s="401"/>
      <c r="AN223" s="401"/>
      <c r="AO223" s="401"/>
    </row>
    <row r="224" spans="1:41" x14ac:dyDescent="0.2">
      <c r="A224" s="413">
        <v>10</v>
      </c>
      <c r="B224" s="1831" t="s">
        <v>798</v>
      </c>
      <c r="C224" s="1831"/>
      <c r="D224" s="408">
        <v>40627</v>
      </c>
      <c r="E224" s="409">
        <v>7</v>
      </c>
      <c r="F224" s="407"/>
      <c r="G224" s="409"/>
      <c r="H224" s="407"/>
      <c r="I224" s="407"/>
      <c r="J224" s="407"/>
      <c r="K224" s="410"/>
      <c r="L224" s="410"/>
      <c r="M224" s="409">
        <f t="shared" si="29"/>
        <v>7</v>
      </c>
      <c r="N224" s="407" t="s">
        <v>787</v>
      </c>
      <c r="O224" s="410" t="s">
        <v>788</v>
      </c>
      <c r="P224" s="401"/>
      <c r="Q224" s="401"/>
      <c r="R224" s="401"/>
      <c r="S224" s="401"/>
      <c r="T224" s="401"/>
      <c r="U224" s="401"/>
      <c r="V224" s="401"/>
      <c r="W224" s="401"/>
      <c r="X224" s="401"/>
      <c r="Y224" s="401"/>
      <c r="Z224" s="401"/>
      <c r="AA224" s="401"/>
      <c r="AB224" s="401"/>
      <c r="AC224" s="401"/>
      <c r="AD224" s="401"/>
      <c r="AE224" s="401"/>
      <c r="AF224" s="401"/>
      <c r="AG224" s="401"/>
      <c r="AH224" s="401"/>
      <c r="AI224" s="401"/>
      <c r="AJ224" s="401"/>
      <c r="AK224" s="401"/>
      <c r="AL224" s="401"/>
      <c r="AM224" s="401"/>
      <c r="AN224" s="401"/>
      <c r="AO224" s="401"/>
    </row>
    <row r="225" spans="1:41" x14ac:dyDescent="0.2">
      <c r="A225" s="407">
        <v>11</v>
      </c>
      <c r="B225" s="1831" t="s">
        <v>799</v>
      </c>
      <c r="C225" s="1831"/>
      <c r="D225" s="408">
        <v>40627</v>
      </c>
      <c r="E225" s="409">
        <v>5</v>
      </c>
      <c r="F225" s="408">
        <v>40654</v>
      </c>
      <c r="G225" s="409">
        <v>1</v>
      </c>
      <c r="H225" s="407">
        <v>1</v>
      </c>
      <c r="I225" s="407"/>
      <c r="J225" s="407"/>
      <c r="K225" s="410"/>
      <c r="L225" s="410"/>
      <c r="M225" s="409">
        <f t="shared" si="29"/>
        <v>4</v>
      </c>
      <c r="N225" s="407" t="s">
        <v>787</v>
      </c>
      <c r="O225" s="410" t="s">
        <v>788</v>
      </c>
      <c r="P225" s="401"/>
      <c r="Q225" s="401"/>
      <c r="R225" s="401"/>
      <c r="S225" s="401"/>
      <c r="T225" s="401"/>
      <c r="U225" s="401"/>
      <c r="V225" s="401"/>
      <c r="W225" s="401"/>
      <c r="X225" s="401"/>
      <c r="Y225" s="401"/>
      <c r="Z225" s="401"/>
      <c r="AA225" s="401"/>
      <c r="AB225" s="401"/>
      <c r="AC225" s="401"/>
      <c r="AD225" s="401"/>
      <c r="AE225" s="401"/>
      <c r="AF225" s="401"/>
      <c r="AG225" s="401"/>
      <c r="AH225" s="401"/>
      <c r="AI225" s="401"/>
      <c r="AJ225" s="401"/>
      <c r="AK225" s="401"/>
      <c r="AL225" s="401"/>
      <c r="AM225" s="401"/>
      <c r="AN225" s="401"/>
      <c r="AO225" s="401"/>
    </row>
    <row r="226" spans="1:41" x14ac:dyDescent="0.2">
      <c r="A226" s="407">
        <v>12</v>
      </c>
      <c r="B226" s="1831" t="s">
        <v>800</v>
      </c>
      <c r="C226" s="1831"/>
      <c r="D226" s="408">
        <v>40627</v>
      </c>
      <c r="E226" s="409">
        <v>0.3</v>
      </c>
      <c r="F226" s="407"/>
      <c r="G226" s="409"/>
      <c r="H226" s="407"/>
      <c r="I226" s="407"/>
      <c r="J226" s="407"/>
      <c r="K226" s="410"/>
      <c r="L226" s="410"/>
      <c r="M226" s="409">
        <f t="shared" si="29"/>
        <v>0.3</v>
      </c>
      <c r="N226" s="407" t="s">
        <v>787</v>
      </c>
      <c r="O226" s="410" t="s">
        <v>794</v>
      </c>
      <c r="P226" s="401"/>
      <c r="Q226" s="401"/>
      <c r="R226" s="401"/>
      <c r="S226" s="401"/>
      <c r="T226" s="401"/>
      <c r="U226" s="401"/>
      <c r="V226" s="401"/>
      <c r="W226" s="401"/>
      <c r="X226" s="401"/>
      <c r="Y226" s="401"/>
      <c r="Z226" s="401"/>
      <c r="AA226" s="401"/>
      <c r="AB226" s="401"/>
      <c r="AC226" s="401"/>
      <c r="AD226" s="401"/>
      <c r="AE226" s="401"/>
      <c r="AF226" s="401"/>
      <c r="AG226" s="401"/>
      <c r="AH226" s="401"/>
      <c r="AI226" s="401"/>
      <c r="AJ226" s="401"/>
      <c r="AK226" s="401"/>
      <c r="AL226" s="401"/>
      <c r="AM226" s="401"/>
      <c r="AN226" s="401"/>
      <c r="AO226" s="401"/>
    </row>
    <row r="227" spans="1:41" x14ac:dyDescent="0.2">
      <c r="A227" s="402"/>
      <c r="C227" s="402"/>
      <c r="D227" s="402"/>
      <c r="E227" s="402"/>
      <c r="F227" s="402"/>
      <c r="G227" s="402"/>
      <c r="H227" s="402"/>
      <c r="I227" s="402"/>
      <c r="O227" s="401"/>
      <c r="P227" s="401"/>
      <c r="Q227" s="401"/>
      <c r="R227" s="401"/>
      <c r="S227" s="401"/>
      <c r="T227" s="401"/>
      <c r="U227" s="401"/>
      <c r="V227" s="401"/>
      <c r="W227" s="401"/>
      <c r="X227" s="401"/>
      <c r="Y227" s="401"/>
      <c r="Z227" s="401"/>
      <c r="AA227" s="401"/>
      <c r="AB227" s="401"/>
      <c r="AC227" s="401"/>
      <c r="AD227" s="401"/>
      <c r="AE227" s="401"/>
      <c r="AF227" s="401"/>
      <c r="AG227" s="401"/>
      <c r="AH227" s="401"/>
      <c r="AI227" s="401"/>
      <c r="AJ227" s="401"/>
      <c r="AK227" s="401"/>
      <c r="AL227" s="401"/>
      <c r="AM227" s="401"/>
      <c r="AN227" s="401"/>
      <c r="AO227" s="401"/>
    </row>
    <row r="228" spans="1:41" ht="15.75" x14ac:dyDescent="0.25">
      <c r="A228" s="1832" t="s">
        <v>801</v>
      </c>
      <c r="B228" s="1832"/>
      <c r="C228" s="1832"/>
      <c r="D228" s="1832"/>
      <c r="E228" s="1832"/>
      <c r="F228" s="1832"/>
      <c r="G228" s="1832"/>
      <c r="H228" s="1832"/>
      <c r="I228" s="1832"/>
      <c r="J228" s="1832"/>
      <c r="O228" s="401"/>
      <c r="P228" s="401"/>
      <c r="Q228" s="401"/>
      <c r="R228" s="401"/>
      <c r="S228" s="401"/>
      <c r="T228" s="401"/>
      <c r="U228" s="401"/>
      <c r="V228" s="401"/>
      <c r="W228" s="401"/>
      <c r="X228" s="401"/>
      <c r="Y228" s="401"/>
      <c r="Z228" s="401"/>
      <c r="AA228" s="401"/>
      <c r="AB228" s="401"/>
      <c r="AC228" s="401"/>
      <c r="AD228" s="401"/>
      <c r="AE228" s="401"/>
      <c r="AF228" s="401"/>
      <c r="AG228" s="401"/>
      <c r="AH228" s="401"/>
      <c r="AI228" s="401"/>
      <c r="AJ228" s="401"/>
      <c r="AK228" s="401"/>
      <c r="AL228" s="401"/>
      <c r="AM228" s="401"/>
      <c r="AN228" s="401"/>
      <c r="AO228" s="401"/>
    </row>
    <row r="229" spans="1:41" x14ac:dyDescent="0.2">
      <c r="A229" s="414">
        <v>40671</v>
      </c>
      <c r="B229" s="395" t="s">
        <v>802</v>
      </c>
      <c r="C229" s="415"/>
      <c r="D229" s="415" t="s">
        <v>803</v>
      </c>
      <c r="E229" s="415" t="s">
        <v>783</v>
      </c>
      <c r="F229" s="415"/>
      <c r="G229" s="416" t="s">
        <v>804</v>
      </c>
      <c r="H229" s="415"/>
      <c r="I229" s="402"/>
      <c r="O229" s="401"/>
      <c r="P229" s="401"/>
      <c r="Q229" s="401"/>
      <c r="R229" s="401"/>
      <c r="S229" s="401"/>
      <c r="T229" s="401"/>
      <c r="U229" s="401"/>
      <c r="V229" s="401"/>
      <c r="W229" s="401"/>
      <c r="X229" s="401"/>
      <c r="Y229" s="401"/>
      <c r="Z229" s="401"/>
      <c r="AA229" s="401"/>
      <c r="AB229" s="401"/>
      <c r="AC229" s="401"/>
      <c r="AD229" s="401"/>
      <c r="AE229" s="401"/>
      <c r="AF229" s="401"/>
      <c r="AG229" s="401"/>
      <c r="AH229" s="401"/>
      <c r="AI229" s="401"/>
      <c r="AJ229" s="401"/>
      <c r="AK229" s="401"/>
      <c r="AL229" s="401"/>
      <c r="AM229" s="401"/>
      <c r="AN229" s="401"/>
      <c r="AO229" s="401"/>
    </row>
    <row r="230" spans="1:41" x14ac:dyDescent="0.2">
      <c r="A230" s="414">
        <v>40676</v>
      </c>
      <c r="B230" s="395" t="s">
        <v>805</v>
      </c>
      <c r="C230" s="415"/>
      <c r="D230" s="415" t="s">
        <v>803</v>
      </c>
      <c r="E230" s="415" t="s">
        <v>783</v>
      </c>
      <c r="F230" s="415"/>
      <c r="G230" s="416" t="s">
        <v>804</v>
      </c>
      <c r="H230" s="415"/>
      <c r="I230" s="402"/>
      <c r="O230" s="401"/>
      <c r="P230" s="401"/>
      <c r="Q230" s="401"/>
      <c r="R230" s="401"/>
      <c r="S230" s="401"/>
      <c r="T230" s="401"/>
      <c r="U230" s="401"/>
      <c r="V230" s="401"/>
      <c r="W230" s="401"/>
      <c r="X230" s="401"/>
      <c r="Y230" s="401"/>
      <c r="Z230" s="401"/>
      <c r="AA230" s="401"/>
      <c r="AB230" s="401"/>
      <c r="AC230" s="401"/>
      <c r="AD230" s="401"/>
      <c r="AE230" s="401"/>
      <c r="AF230" s="401"/>
      <c r="AG230" s="401"/>
      <c r="AH230" s="401"/>
      <c r="AI230" s="401"/>
      <c r="AJ230" s="401"/>
      <c r="AK230" s="401"/>
      <c r="AL230" s="401"/>
      <c r="AM230" s="401"/>
      <c r="AN230" s="401"/>
      <c r="AO230" s="401"/>
    </row>
    <row r="231" spans="1:41" x14ac:dyDescent="0.2">
      <c r="A231" s="417">
        <v>40683</v>
      </c>
      <c r="B231" s="395" t="s">
        <v>802</v>
      </c>
      <c r="D231" s="415" t="s">
        <v>803</v>
      </c>
      <c r="E231" s="415" t="s">
        <v>783</v>
      </c>
      <c r="G231" s="383" t="s">
        <v>804</v>
      </c>
      <c r="L231" s="401"/>
      <c r="M231" s="401"/>
      <c r="N231" s="401"/>
      <c r="O231" s="401"/>
      <c r="P231" s="401"/>
      <c r="Q231" s="401"/>
      <c r="R231" s="401"/>
      <c r="S231" s="401"/>
      <c r="T231" s="401"/>
      <c r="U231" s="401"/>
      <c r="V231" s="401"/>
      <c r="W231" s="401"/>
      <c r="X231" s="401"/>
      <c r="Y231" s="401"/>
      <c r="Z231" s="401"/>
      <c r="AA231" s="401"/>
      <c r="AB231" s="401"/>
      <c r="AC231" s="401"/>
      <c r="AD231" s="401"/>
      <c r="AE231" s="401"/>
      <c r="AF231" s="401"/>
      <c r="AG231" s="401"/>
      <c r="AH231" s="401"/>
      <c r="AI231" s="401"/>
      <c r="AJ231" s="401"/>
      <c r="AK231" s="401"/>
      <c r="AL231" s="401"/>
      <c r="AM231" s="401"/>
      <c r="AN231" s="401"/>
      <c r="AO231" s="401"/>
    </row>
    <row r="232" spans="1:41" x14ac:dyDescent="0.2">
      <c r="A232" s="417"/>
      <c r="B232" s="395"/>
      <c r="D232" s="415"/>
      <c r="E232" s="415"/>
      <c r="G232" s="383"/>
      <c r="L232" s="401"/>
      <c r="M232" s="401"/>
      <c r="N232" s="401"/>
      <c r="O232" s="401"/>
      <c r="P232" s="401"/>
      <c r="Q232" s="401"/>
      <c r="R232" s="401"/>
      <c r="S232" s="401"/>
      <c r="T232" s="401"/>
      <c r="U232" s="401"/>
      <c r="V232" s="401"/>
      <c r="W232" s="401"/>
      <c r="X232" s="401"/>
      <c r="Y232" s="401"/>
      <c r="Z232" s="401"/>
      <c r="AA232" s="401"/>
      <c r="AB232" s="401"/>
      <c r="AC232" s="401"/>
      <c r="AD232" s="401"/>
      <c r="AE232" s="401"/>
      <c r="AF232" s="401"/>
      <c r="AG232" s="401"/>
      <c r="AH232" s="401"/>
      <c r="AI232" s="401"/>
      <c r="AJ232" s="401"/>
      <c r="AK232" s="401"/>
      <c r="AL232" s="401"/>
      <c r="AM232" s="401"/>
      <c r="AN232" s="401"/>
      <c r="AO232" s="401"/>
    </row>
    <row r="233" spans="1:41" ht="15.75" x14ac:dyDescent="0.25">
      <c r="A233" s="1832" t="s">
        <v>806</v>
      </c>
      <c r="B233" s="1832"/>
      <c r="C233" s="1832"/>
      <c r="D233" s="1832"/>
      <c r="E233" s="1832"/>
      <c r="F233" s="1832"/>
      <c r="G233" s="1832"/>
      <c r="H233" s="1832"/>
      <c r="I233" s="1832"/>
      <c r="J233" s="1832"/>
      <c r="L233" s="401"/>
      <c r="M233" s="401"/>
      <c r="N233" s="401"/>
      <c r="O233" s="401"/>
      <c r="P233" s="401"/>
      <c r="Q233" s="401"/>
      <c r="R233" s="401"/>
      <c r="S233" s="401"/>
      <c r="T233" s="401"/>
      <c r="U233" s="401"/>
      <c r="V233" s="401"/>
      <c r="W233" s="401"/>
      <c r="X233" s="401"/>
      <c r="Y233" s="401"/>
      <c r="Z233" s="401"/>
      <c r="AA233" s="401"/>
      <c r="AB233" s="401"/>
      <c r="AC233" s="401"/>
      <c r="AD233" s="401"/>
      <c r="AE233" s="401"/>
      <c r="AF233" s="401"/>
      <c r="AG233" s="401"/>
      <c r="AH233" s="401"/>
      <c r="AI233" s="401"/>
      <c r="AJ233" s="401"/>
      <c r="AK233" s="401"/>
      <c r="AL233" s="401"/>
      <c r="AM233" s="401"/>
      <c r="AN233" s="401"/>
      <c r="AO233" s="401"/>
    </row>
    <row r="234" spans="1:41" x14ac:dyDescent="0.2">
      <c r="A234" s="417"/>
      <c r="B234" s="395"/>
      <c r="D234" s="415"/>
      <c r="E234" s="415"/>
      <c r="G234" s="383"/>
      <c r="L234" s="401"/>
      <c r="M234" s="401"/>
      <c r="N234" s="401"/>
      <c r="O234" s="401"/>
      <c r="P234" s="401"/>
      <c r="Q234" s="401"/>
      <c r="R234" s="401"/>
      <c r="S234" s="401"/>
      <c r="T234" s="401"/>
      <c r="U234" s="401"/>
      <c r="V234" s="401"/>
      <c r="W234" s="401"/>
      <c r="X234" s="401"/>
      <c r="Y234" s="401"/>
      <c r="Z234" s="401"/>
      <c r="AA234" s="401"/>
      <c r="AB234" s="401"/>
      <c r="AC234" s="401"/>
      <c r="AD234" s="401"/>
      <c r="AE234" s="401"/>
      <c r="AF234" s="401"/>
      <c r="AG234" s="401"/>
      <c r="AH234" s="401"/>
      <c r="AI234" s="401"/>
      <c r="AJ234" s="401"/>
      <c r="AK234" s="401"/>
      <c r="AL234" s="401"/>
      <c r="AM234" s="401"/>
      <c r="AN234" s="401"/>
      <c r="AO234" s="401"/>
    </row>
    <row r="235" spans="1:41" ht="15" x14ac:dyDescent="0.25">
      <c r="A235" s="390" t="s">
        <v>753</v>
      </c>
      <c r="B235" s="391"/>
      <c r="C235" s="392" t="s">
        <v>754</v>
      </c>
      <c r="D235" s="393" t="s">
        <v>755</v>
      </c>
      <c r="E235" s="394" t="s">
        <v>756</v>
      </c>
      <c r="G235" s="383" t="s">
        <v>337</v>
      </c>
      <c r="L235" s="401"/>
      <c r="M235" s="401"/>
      <c r="N235" s="401"/>
      <c r="O235" s="401"/>
      <c r="P235" s="401"/>
      <c r="Q235" s="401"/>
      <c r="R235" s="401"/>
      <c r="S235" s="401"/>
      <c r="T235" s="401"/>
      <c r="U235" s="401"/>
      <c r="V235" s="401"/>
      <c r="W235" s="401"/>
      <c r="X235" s="401"/>
      <c r="Y235" s="401"/>
      <c r="Z235" s="401"/>
      <c r="AA235" s="401"/>
      <c r="AB235" s="401"/>
      <c r="AC235" s="401"/>
      <c r="AD235" s="401"/>
      <c r="AE235" s="401"/>
      <c r="AF235" s="401"/>
      <c r="AG235" s="401"/>
      <c r="AH235" s="401"/>
      <c r="AI235" s="401"/>
      <c r="AJ235" s="401"/>
      <c r="AK235" s="401"/>
      <c r="AL235" s="401"/>
      <c r="AM235" s="401"/>
      <c r="AN235" s="401"/>
      <c r="AO235" s="401"/>
    </row>
    <row r="236" spans="1:41" ht="15" x14ac:dyDescent="0.25">
      <c r="A236" s="390" t="s">
        <v>757</v>
      </c>
      <c r="B236" s="391"/>
      <c r="C236" s="392" t="s">
        <v>758</v>
      </c>
      <c r="D236" s="393" t="s">
        <v>759</v>
      </c>
      <c r="E236" s="394" t="s">
        <v>756</v>
      </c>
      <c r="G236" s="383" t="s">
        <v>337</v>
      </c>
      <c r="L236" s="401"/>
      <c r="M236" s="401"/>
      <c r="N236" s="401"/>
      <c r="O236" s="401"/>
      <c r="P236" s="401"/>
      <c r="Q236" s="401"/>
      <c r="R236" s="401"/>
      <c r="S236" s="401"/>
      <c r="T236" s="401"/>
      <c r="U236" s="401"/>
      <c r="V236" s="401"/>
      <c r="W236" s="401"/>
      <c r="X236" s="401"/>
      <c r="Y236" s="401"/>
      <c r="Z236" s="401"/>
      <c r="AA236" s="401"/>
      <c r="AB236" s="401"/>
      <c r="AC236" s="401"/>
      <c r="AD236" s="401"/>
      <c r="AE236" s="401"/>
      <c r="AF236" s="401"/>
      <c r="AG236" s="401"/>
      <c r="AH236" s="401"/>
      <c r="AI236" s="401"/>
      <c r="AJ236" s="401"/>
      <c r="AK236" s="401"/>
      <c r="AL236" s="401"/>
      <c r="AM236" s="401"/>
      <c r="AN236" s="401"/>
      <c r="AO236" s="401"/>
    </row>
    <row r="237" spans="1:41" x14ac:dyDescent="0.2">
      <c r="A237" s="417" t="s">
        <v>807</v>
      </c>
      <c r="B237" s="395"/>
      <c r="C237" s="383" t="s">
        <v>808</v>
      </c>
      <c r="D237" s="415"/>
      <c r="E237" s="415" t="s">
        <v>756</v>
      </c>
      <c r="G237" s="383" t="s">
        <v>783</v>
      </c>
      <c r="L237" s="401"/>
      <c r="M237" s="401"/>
      <c r="N237" s="401"/>
      <c r="O237" s="401"/>
      <c r="P237" s="401"/>
      <c r="Q237" s="401"/>
      <c r="R237" s="401"/>
      <c r="S237" s="401"/>
      <c r="T237" s="401"/>
      <c r="U237" s="401"/>
      <c r="V237" s="401"/>
      <c r="W237" s="401"/>
      <c r="X237" s="401"/>
      <c r="Y237" s="401"/>
      <c r="Z237" s="401"/>
      <c r="AA237" s="401"/>
      <c r="AB237" s="401"/>
      <c r="AC237" s="401"/>
      <c r="AD237" s="401"/>
      <c r="AE237" s="401"/>
      <c r="AF237" s="401"/>
      <c r="AG237" s="401"/>
      <c r="AH237" s="401"/>
      <c r="AI237" s="401"/>
      <c r="AJ237" s="401"/>
      <c r="AK237" s="401"/>
      <c r="AL237" s="401"/>
      <c r="AM237" s="401"/>
      <c r="AN237" s="401"/>
      <c r="AO237" s="401"/>
    </row>
    <row r="238" spans="1:41" x14ac:dyDescent="0.2">
      <c r="A238" s="417"/>
      <c r="B238" s="395"/>
      <c r="D238" s="415"/>
      <c r="E238" s="415"/>
      <c r="G238" s="383"/>
      <c r="L238" s="401"/>
      <c r="M238" s="401"/>
      <c r="N238" s="401"/>
      <c r="O238" s="401"/>
      <c r="P238" s="401"/>
      <c r="Q238" s="401"/>
      <c r="R238" s="401"/>
      <c r="S238" s="401"/>
      <c r="T238" s="401"/>
      <c r="U238" s="401"/>
      <c r="V238" s="401"/>
      <c r="W238" s="401"/>
      <c r="X238" s="401"/>
      <c r="Y238" s="401"/>
      <c r="Z238" s="401"/>
      <c r="AA238" s="401"/>
      <c r="AB238" s="401"/>
      <c r="AC238" s="401"/>
      <c r="AD238" s="401"/>
      <c r="AE238" s="401"/>
      <c r="AF238" s="401"/>
      <c r="AG238" s="401"/>
      <c r="AH238" s="401"/>
      <c r="AI238" s="401"/>
      <c r="AJ238" s="401"/>
      <c r="AK238" s="401"/>
      <c r="AL238" s="401"/>
      <c r="AM238" s="401"/>
      <c r="AN238" s="401"/>
      <c r="AO238" s="401"/>
    </row>
    <row r="239" spans="1:41" ht="15.75" x14ac:dyDescent="0.25">
      <c r="A239" s="1833" t="s">
        <v>809</v>
      </c>
      <c r="B239" s="1833"/>
      <c r="C239" s="1833"/>
      <c r="D239" s="1833"/>
      <c r="E239" s="1833"/>
      <c r="L239" s="401"/>
      <c r="M239" s="401"/>
      <c r="N239" s="401"/>
      <c r="O239" s="401"/>
      <c r="P239" s="401"/>
      <c r="Q239" s="401"/>
      <c r="R239" s="401"/>
      <c r="S239" s="401"/>
      <c r="T239" s="401"/>
      <c r="U239" s="401"/>
      <c r="V239" s="401"/>
      <c r="W239" s="401"/>
      <c r="X239" s="401"/>
      <c r="Y239" s="401"/>
      <c r="Z239" s="401"/>
      <c r="AA239" s="401"/>
      <c r="AB239" s="401"/>
      <c r="AC239" s="401"/>
      <c r="AD239" s="401"/>
      <c r="AE239" s="401"/>
      <c r="AF239" s="401"/>
      <c r="AG239" s="401"/>
      <c r="AH239" s="401"/>
      <c r="AI239" s="401"/>
      <c r="AJ239" s="401"/>
      <c r="AK239" s="401"/>
      <c r="AL239" s="401"/>
      <c r="AM239" s="401"/>
      <c r="AN239" s="401"/>
      <c r="AO239" s="401"/>
    </row>
    <row r="240" spans="1:41" ht="13.5" thickBot="1" x14ac:dyDescent="0.25">
      <c r="L240" s="401"/>
      <c r="M240" s="401"/>
      <c r="N240" s="401"/>
      <c r="O240" s="401"/>
      <c r="P240" s="401"/>
      <c r="Q240" s="401"/>
      <c r="R240" s="401"/>
      <c r="S240" s="401"/>
      <c r="T240" s="401"/>
      <c r="U240" s="401"/>
      <c r="V240" s="401"/>
      <c r="W240" s="401"/>
      <c r="X240" s="401"/>
      <c r="Y240" s="401"/>
      <c r="Z240" s="401"/>
      <c r="AA240" s="401"/>
      <c r="AB240" s="401"/>
      <c r="AC240" s="401"/>
      <c r="AD240" s="401"/>
      <c r="AE240" s="401"/>
      <c r="AF240" s="401"/>
      <c r="AG240" s="401"/>
      <c r="AH240" s="401"/>
      <c r="AI240" s="401"/>
      <c r="AJ240" s="401"/>
      <c r="AK240" s="401"/>
      <c r="AL240" s="401"/>
      <c r="AM240" s="401"/>
      <c r="AN240" s="401"/>
      <c r="AO240" s="401"/>
    </row>
    <row r="241" spans="1:41" ht="13.5" thickBot="1" x14ac:dyDescent="0.25">
      <c r="A241" s="418" t="s">
        <v>82</v>
      </c>
      <c r="B241" s="419" t="s">
        <v>697</v>
      </c>
      <c r="C241" s="420" t="s">
        <v>810</v>
      </c>
      <c r="D241" s="420" t="s">
        <v>811</v>
      </c>
      <c r="E241" s="421" t="s">
        <v>812</v>
      </c>
      <c r="L241" s="401"/>
      <c r="M241" s="401"/>
      <c r="N241" s="401"/>
      <c r="O241" s="401"/>
      <c r="P241" s="401"/>
      <c r="Q241" s="401"/>
      <c r="R241" s="401"/>
      <c r="S241" s="401"/>
      <c r="T241" s="401"/>
      <c r="U241" s="401"/>
      <c r="V241" s="401"/>
      <c r="W241" s="401"/>
      <c r="X241" s="401"/>
      <c r="Y241" s="401"/>
      <c r="Z241" s="401"/>
      <c r="AA241" s="401"/>
      <c r="AB241" s="401"/>
      <c r="AC241" s="401"/>
      <c r="AD241" s="401"/>
      <c r="AE241" s="401"/>
      <c r="AF241" s="401"/>
      <c r="AG241" s="401"/>
      <c r="AH241" s="401"/>
      <c r="AI241" s="401"/>
      <c r="AJ241" s="401"/>
      <c r="AK241" s="401"/>
      <c r="AL241" s="401"/>
      <c r="AM241" s="401"/>
      <c r="AN241" s="401"/>
      <c r="AO241" s="401"/>
    </row>
    <row r="242" spans="1:41" x14ac:dyDescent="0.2">
      <c r="B242" s="422"/>
      <c r="C242" s="402"/>
      <c r="D242" s="402"/>
      <c r="E242" s="402"/>
      <c r="L242" s="401"/>
      <c r="M242" s="401"/>
      <c r="N242" s="401"/>
      <c r="O242" s="401"/>
      <c r="P242" s="401"/>
      <c r="Q242" s="401"/>
      <c r="R242" s="401"/>
      <c r="S242" s="401"/>
      <c r="T242" s="401"/>
      <c r="U242" s="401"/>
      <c r="V242" s="401"/>
      <c r="W242" s="401"/>
      <c r="X242" s="401"/>
      <c r="Y242" s="401"/>
      <c r="Z242" s="401"/>
      <c r="AA242" s="401"/>
      <c r="AB242" s="401"/>
      <c r="AC242" s="401"/>
      <c r="AD242" s="401"/>
      <c r="AE242" s="401"/>
      <c r="AF242" s="401"/>
      <c r="AG242" s="401"/>
      <c r="AH242" s="401"/>
      <c r="AI242" s="401"/>
      <c r="AJ242" s="401"/>
      <c r="AK242" s="401"/>
      <c r="AL242" s="401"/>
      <c r="AM242" s="401"/>
      <c r="AN242" s="401"/>
      <c r="AO242" s="401"/>
    </row>
    <row r="243" spans="1:41" x14ac:dyDescent="0.2">
      <c r="A243" s="423">
        <v>40664</v>
      </c>
      <c r="B243" s="1834" t="s">
        <v>813</v>
      </c>
      <c r="C243" s="1835"/>
      <c r="D243" s="1835"/>
      <c r="E243" s="1836"/>
      <c r="L243" s="401"/>
      <c r="M243" s="401"/>
      <c r="N243" s="401"/>
      <c r="O243" s="401"/>
      <c r="P243" s="401"/>
      <c r="Q243" s="401"/>
      <c r="R243" s="401"/>
      <c r="S243" s="401"/>
      <c r="T243" s="401"/>
      <c r="U243" s="401"/>
      <c r="V243" s="401"/>
      <c r="W243" s="401"/>
      <c r="X243" s="401"/>
      <c r="Y243" s="401"/>
      <c r="Z243" s="401"/>
      <c r="AA243" s="401"/>
      <c r="AB243" s="401"/>
      <c r="AC243" s="401"/>
      <c r="AD243" s="401"/>
      <c r="AE243" s="401"/>
      <c r="AF243" s="401"/>
      <c r="AG243" s="401"/>
      <c r="AH243" s="401"/>
      <c r="AI243" s="401"/>
      <c r="AJ243" s="401"/>
      <c r="AK243" s="401"/>
      <c r="AL243" s="401"/>
      <c r="AM243" s="401"/>
      <c r="AN243" s="401"/>
      <c r="AO243" s="401"/>
    </row>
    <row r="244" spans="1:41" x14ac:dyDescent="0.2">
      <c r="A244" s="423">
        <v>40665</v>
      </c>
      <c r="B244" s="1834" t="s">
        <v>813</v>
      </c>
      <c r="C244" s="1835"/>
      <c r="D244" s="1835"/>
      <c r="E244" s="1836"/>
      <c r="L244" s="401"/>
      <c r="M244" s="401"/>
      <c r="N244" s="401"/>
      <c r="O244" s="401"/>
      <c r="P244" s="401"/>
      <c r="Q244" s="401"/>
      <c r="R244" s="401"/>
      <c r="S244" s="401"/>
      <c r="T244" s="401"/>
      <c r="U244" s="401"/>
      <c r="V244" s="401"/>
      <c r="W244" s="401"/>
      <c r="X244" s="401"/>
      <c r="Y244" s="401"/>
      <c r="Z244" s="401"/>
      <c r="AA244" s="401"/>
      <c r="AB244" s="401"/>
      <c r="AC244" s="401"/>
      <c r="AD244" s="401"/>
      <c r="AE244" s="401"/>
      <c r="AF244" s="401"/>
      <c r="AG244" s="401"/>
      <c r="AH244" s="401"/>
      <c r="AI244" s="401"/>
      <c r="AJ244" s="401"/>
      <c r="AK244" s="401"/>
      <c r="AL244" s="401"/>
      <c r="AM244" s="401"/>
      <c r="AN244" s="401"/>
      <c r="AO244" s="401"/>
    </row>
    <row r="245" spans="1:41" ht="15" x14ac:dyDescent="0.25">
      <c r="A245" s="423">
        <v>40666</v>
      </c>
      <c r="B245" s="424">
        <v>2</v>
      </c>
      <c r="C245" s="425">
        <v>0</v>
      </c>
      <c r="D245" s="425">
        <v>0</v>
      </c>
      <c r="E245" s="426">
        <f>(B245-C245)/(B245+D245)</f>
        <v>1</v>
      </c>
      <c r="L245" s="401"/>
      <c r="M245" s="401"/>
      <c r="N245" s="401"/>
      <c r="O245" s="401"/>
      <c r="P245" s="401"/>
      <c r="Q245" s="401"/>
      <c r="R245" s="401"/>
      <c r="S245" s="401"/>
      <c r="T245" s="401"/>
      <c r="U245" s="401"/>
      <c r="V245" s="401"/>
      <c r="W245" s="401"/>
      <c r="X245" s="401"/>
      <c r="Y245" s="401"/>
      <c r="Z245" s="401"/>
      <c r="AA245" s="401"/>
      <c r="AB245" s="401"/>
      <c r="AC245" s="401"/>
      <c r="AD245" s="401"/>
      <c r="AE245" s="401"/>
      <c r="AF245" s="401"/>
      <c r="AG245" s="401"/>
      <c r="AH245" s="401"/>
      <c r="AI245" s="401"/>
      <c r="AJ245" s="401"/>
      <c r="AK245" s="401"/>
      <c r="AL245" s="401"/>
      <c r="AM245" s="401"/>
      <c r="AN245" s="401"/>
      <c r="AO245" s="401"/>
    </row>
    <row r="246" spans="1:41" x14ac:dyDescent="0.2">
      <c r="A246" s="423">
        <v>40667</v>
      </c>
      <c r="B246" s="1834" t="s">
        <v>813</v>
      </c>
      <c r="C246" s="1835"/>
      <c r="D246" s="1835"/>
      <c r="E246" s="1836"/>
      <c r="L246" s="401"/>
      <c r="M246" s="401"/>
      <c r="N246" s="401"/>
      <c r="O246" s="401"/>
      <c r="P246" s="401"/>
      <c r="Q246" s="401"/>
      <c r="R246" s="401"/>
      <c r="S246" s="401"/>
      <c r="T246" s="401"/>
      <c r="U246" s="401"/>
      <c r="V246" s="401"/>
      <c r="W246" s="401"/>
      <c r="X246" s="401"/>
      <c r="Y246" s="401"/>
      <c r="Z246" s="401"/>
      <c r="AA246" s="401"/>
      <c r="AB246" s="401"/>
      <c r="AC246" s="401"/>
      <c r="AD246" s="401"/>
      <c r="AE246" s="401"/>
      <c r="AF246" s="401"/>
      <c r="AG246" s="401"/>
      <c r="AH246" s="401"/>
      <c r="AI246" s="401"/>
      <c r="AJ246" s="401"/>
      <c r="AK246" s="401"/>
      <c r="AL246" s="401"/>
      <c r="AM246" s="401"/>
      <c r="AN246" s="401"/>
      <c r="AO246" s="401"/>
    </row>
    <row r="247" spans="1:41" x14ac:dyDescent="0.2">
      <c r="A247" s="423">
        <v>40668</v>
      </c>
      <c r="B247" s="1834" t="s">
        <v>813</v>
      </c>
      <c r="C247" s="1835"/>
      <c r="D247" s="1835"/>
      <c r="E247" s="1836"/>
      <c r="L247" s="401"/>
      <c r="M247" s="401"/>
      <c r="N247" s="401"/>
      <c r="O247" s="401"/>
      <c r="P247" s="401"/>
      <c r="Q247" s="401"/>
      <c r="R247" s="401"/>
      <c r="S247" s="401"/>
      <c r="T247" s="401"/>
      <c r="U247" s="401"/>
      <c r="V247" s="401"/>
      <c r="W247" s="401"/>
      <c r="X247" s="401"/>
      <c r="Y247" s="401"/>
      <c r="Z247" s="401"/>
      <c r="AA247" s="401"/>
      <c r="AB247" s="401"/>
      <c r="AC247" s="401"/>
      <c r="AD247" s="401"/>
      <c r="AE247" s="401"/>
      <c r="AF247" s="401"/>
      <c r="AG247" s="401"/>
      <c r="AH247" s="401"/>
      <c r="AI247" s="401"/>
      <c r="AJ247" s="401"/>
      <c r="AK247" s="401"/>
      <c r="AL247" s="401"/>
      <c r="AM247" s="401"/>
      <c r="AN247" s="401"/>
      <c r="AO247" s="401"/>
    </row>
    <row r="248" spans="1:41" x14ac:dyDescent="0.2">
      <c r="A248" s="423">
        <v>40669</v>
      </c>
      <c r="B248" s="1834" t="s">
        <v>813</v>
      </c>
      <c r="C248" s="1835"/>
      <c r="D248" s="1835"/>
      <c r="E248" s="1836"/>
      <c r="L248" s="401"/>
      <c r="M248" s="401"/>
      <c r="N248" s="401"/>
      <c r="O248" s="401"/>
      <c r="P248" s="401"/>
      <c r="Q248" s="401"/>
      <c r="R248" s="401"/>
      <c r="S248" s="401"/>
      <c r="T248" s="401"/>
      <c r="U248" s="401"/>
      <c r="V248" s="401"/>
      <c r="W248" s="401"/>
      <c r="X248" s="401"/>
      <c r="Y248" s="401"/>
      <c r="Z248" s="401"/>
      <c r="AA248" s="401"/>
      <c r="AB248" s="401"/>
      <c r="AC248" s="401"/>
      <c r="AD248" s="401"/>
      <c r="AE248" s="401"/>
      <c r="AF248" s="401"/>
      <c r="AG248" s="401"/>
      <c r="AH248" s="401"/>
      <c r="AI248" s="401"/>
      <c r="AJ248" s="401"/>
      <c r="AK248" s="401"/>
      <c r="AL248" s="401"/>
      <c r="AM248" s="401"/>
      <c r="AN248" s="401"/>
      <c r="AO248" s="401"/>
    </row>
    <row r="249" spans="1:41" x14ac:dyDescent="0.2">
      <c r="A249" s="423">
        <v>40670</v>
      </c>
      <c r="B249" s="1834" t="s">
        <v>813</v>
      </c>
      <c r="C249" s="1835"/>
      <c r="D249" s="1835"/>
      <c r="E249" s="1836"/>
      <c r="L249" s="401"/>
      <c r="M249" s="401"/>
      <c r="N249" s="401"/>
      <c r="O249" s="401"/>
      <c r="P249" s="401"/>
      <c r="Q249" s="401"/>
      <c r="R249" s="401"/>
      <c r="S249" s="401"/>
      <c r="T249" s="401"/>
      <c r="U249" s="401"/>
      <c r="V249" s="401"/>
      <c r="W249" s="401"/>
      <c r="X249" s="401"/>
      <c r="Y249" s="401"/>
      <c r="Z249" s="401"/>
      <c r="AA249" s="401"/>
      <c r="AB249" s="401"/>
      <c r="AC249" s="401"/>
      <c r="AD249" s="401"/>
      <c r="AE249" s="401"/>
      <c r="AF249" s="401"/>
      <c r="AG249" s="401"/>
      <c r="AH249" s="401"/>
      <c r="AI249" s="401"/>
      <c r="AJ249" s="401"/>
      <c r="AK249" s="401"/>
      <c r="AL249" s="401"/>
      <c r="AM249" s="401"/>
      <c r="AN249" s="401"/>
      <c r="AO249" s="401"/>
    </row>
    <row r="250" spans="1:41" x14ac:dyDescent="0.2">
      <c r="A250" s="423">
        <v>40671</v>
      </c>
      <c r="B250" s="1834" t="s">
        <v>813</v>
      </c>
      <c r="C250" s="1835"/>
      <c r="D250" s="1835"/>
      <c r="E250" s="1836"/>
      <c r="L250" s="401"/>
      <c r="M250" s="401"/>
      <c r="N250" s="401"/>
      <c r="O250" s="401"/>
      <c r="P250" s="401"/>
      <c r="Q250" s="401"/>
      <c r="R250" s="401"/>
      <c r="S250" s="401"/>
      <c r="T250" s="401"/>
      <c r="U250" s="401"/>
      <c r="V250" s="401"/>
      <c r="W250" s="401"/>
      <c r="X250" s="401"/>
      <c r="Y250" s="401"/>
      <c r="Z250" s="401"/>
      <c r="AA250" s="401"/>
      <c r="AB250" s="401"/>
      <c r="AC250" s="401"/>
      <c r="AD250" s="401"/>
      <c r="AE250" s="401"/>
      <c r="AF250" s="401"/>
      <c r="AG250" s="401"/>
      <c r="AH250" s="401"/>
      <c r="AI250" s="401"/>
      <c r="AJ250" s="401"/>
      <c r="AK250" s="401"/>
      <c r="AL250" s="401"/>
      <c r="AM250" s="401"/>
      <c r="AN250" s="401"/>
      <c r="AO250" s="401"/>
    </row>
    <row r="251" spans="1:41" ht="15" x14ac:dyDescent="0.25">
      <c r="A251" s="423">
        <v>40672</v>
      </c>
      <c r="B251" s="424">
        <v>1</v>
      </c>
      <c r="C251" s="425">
        <v>0</v>
      </c>
      <c r="D251" s="425">
        <v>0</v>
      </c>
      <c r="E251" s="426">
        <f>(B251-C251)/(B251+D251)</f>
        <v>1</v>
      </c>
      <c r="L251" s="401"/>
      <c r="M251" s="401"/>
      <c r="N251" s="401"/>
      <c r="O251" s="401"/>
      <c r="P251" s="401"/>
      <c r="Q251" s="401"/>
      <c r="R251" s="401"/>
      <c r="S251" s="401"/>
      <c r="T251" s="401"/>
      <c r="U251" s="401"/>
      <c r="V251" s="401"/>
      <c r="W251" s="401"/>
      <c r="X251" s="401"/>
      <c r="Y251" s="401"/>
      <c r="Z251" s="401"/>
      <c r="AA251" s="401"/>
      <c r="AB251" s="401"/>
      <c r="AC251" s="401"/>
      <c r="AD251" s="401"/>
      <c r="AE251" s="401"/>
      <c r="AF251" s="401"/>
      <c r="AG251" s="401"/>
      <c r="AH251" s="401"/>
      <c r="AI251" s="401"/>
      <c r="AJ251" s="401"/>
      <c r="AK251" s="401"/>
      <c r="AL251" s="401"/>
      <c r="AM251" s="401"/>
      <c r="AN251" s="401"/>
      <c r="AO251" s="401"/>
    </row>
    <row r="252" spans="1:41" x14ac:dyDescent="0.2">
      <c r="A252" s="423">
        <v>40673</v>
      </c>
      <c r="B252" s="1834" t="s">
        <v>814</v>
      </c>
      <c r="C252" s="1835"/>
      <c r="D252" s="1835"/>
      <c r="E252" s="1836"/>
      <c r="L252" s="401"/>
      <c r="M252" s="401"/>
      <c r="N252" s="401"/>
      <c r="O252" s="401"/>
      <c r="P252" s="401"/>
      <c r="Q252" s="401"/>
      <c r="R252" s="401"/>
      <c r="S252" s="401"/>
      <c r="T252" s="401"/>
      <c r="U252" s="401"/>
      <c r="V252" s="401"/>
      <c r="W252" s="401"/>
      <c r="X252" s="401"/>
      <c r="Y252" s="401"/>
      <c r="Z252" s="401"/>
      <c r="AA252" s="401"/>
      <c r="AB252" s="401"/>
      <c r="AC252" s="401"/>
      <c r="AD252" s="401"/>
      <c r="AE252" s="401"/>
      <c r="AF252" s="401"/>
      <c r="AG252" s="401"/>
      <c r="AH252" s="401"/>
      <c r="AI252" s="401"/>
      <c r="AJ252" s="401"/>
      <c r="AK252" s="401"/>
      <c r="AL252" s="401"/>
      <c r="AM252" s="401"/>
      <c r="AN252" s="401"/>
      <c r="AO252" s="401"/>
    </row>
    <row r="253" spans="1:41" x14ac:dyDescent="0.2">
      <c r="A253" s="423">
        <v>40674</v>
      </c>
      <c r="B253" s="1834" t="s">
        <v>813</v>
      </c>
      <c r="C253" s="1835"/>
      <c r="D253" s="1835"/>
      <c r="E253" s="1836"/>
      <c r="L253" s="401"/>
      <c r="M253" s="401"/>
      <c r="N253" s="401"/>
      <c r="O253" s="401"/>
      <c r="P253" s="401"/>
      <c r="Q253" s="401"/>
      <c r="R253" s="401"/>
      <c r="S253" s="401"/>
      <c r="T253" s="401"/>
      <c r="U253" s="401"/>
      <c r="V253" s="401"/>
      <c r="W253" s="401"/>
      <c r="X253" s="401"/>
      <c r="Y253" s="401"/>
      <c r="Z253" s="401"/>
      <c r="AA253" s="401"/>
      <c r="AB253" s="401"/>
      <c r="AC253" s="401"/>
      <c r="AD253" s="401"/>
      <c r="AE253" s="401"/>
      <c r="AF253" s="401"/>
      <c r="AG253" s="401"/>
      <c r="AH253" s="401"/>
      <c r="AI253" s="401"/>
      <c r="AJ253" s="401"/>
      <c r="AK253" s="401"/>
      <c r="AL253" s="401"/>
      <c r="AM253" s="401"/>
      <c r="AN253" s="401"/>
      <c r="AO253" s="401"/>
    </row>
    <row r="254" spans="1:41" x14ac:dyDescent="0.2">
      <c r="A254" s="423">
        <v>40675</v>
      </c>
      <c r="B254" s="1834" t="s">
        <v>813</v>
      </c>
      <c r="C254" s="1835"/>
      <c r="D254" s="1835"/>
      <c r="E254" s="1836"/>
      <c r="L254" s="401"/>
      <c r="M254" s="401"/>
      <c r="N254" s="401"/>
      <c r="O254" s="401"/>
      <c r="P254" s="401"/>
      <c r="Q254" s="401"/>
      <c r="R254" s="401"/>
      <c r="S254" s="401"/>
      <c r="T254" s="401"/>
      <c r="U254" s="401"/>
      <c r="V254" s="401"/>
      <c r="W254" s="401"/>
      <c r="X254" s="401"/>
      <c r="Y254" s="401"/>
      <c r="Z254" s="401"/>
      <c r="AA254" s="401"/>
      <c r="AB254" s="401"/>
      <c r="AC254" s="401"/>
      <c r="AD254" s="401"/>
      <c r="AE254" s="401"/>
      <c r="AF254" s="401"/>
      <c r="AG254" s="401"/>
      <c r="AH254" s="401"/>
      <c r="AI254" s="401"/>
      <c r="AJ254" s="401"/>
      <c r="AK254" s="401"/>
      <c r="AL254" s="401"/>
      <c r="AM254" s="401"/>
      <c r="AN254" s="401"/>
      <c r="AO254" s="401"/>
    </row>
    <row r="255" spans="1:41" x14ac:dyDescent="0.2">
      <c r="A255" s="423">
        <v>40676</v>
      </c>
      <c r="B255" s="1834" t="s">
        <v>813</v>
      </c>
      <c r="C255" s="1835"/>
      <c r="D255" s="1835"/>
      <c r="E255" s="1836"/>
      <c r="L255" s="401"/>
      <c r="M255" s="401"/>
      <c r="N255" s="401"/>
      <c r="O255" s="401"/>
      <c r="P255" s="401"/>
      <c r="Q255" s="401"/>
      <c r="R255" s="401"/>
      <c r="S255" s="401"/>
      <c r="T255" s="401"/>
      <c r="U255" s="401"/>
      <c r="V255" s="401"/>
      <c r="W255" s="401"/>
      <c r="X255" s="401"/>
      <c r="Y255" s="401"/>
      <c r="Z255" s="401"/>
      <c r="AA255" s="401"/>
      <c r="AB255" s="401"/>
      <c r="AC255" s="401"/>
      <c r="AD255" s="401"/>
      <c r="AE255" s="401"/>
      <c r="AF255" s="401"/>
      <c r="AG255" s="401"/>
      <c r="AH255" s="401"/>
      <c r="AI255" s="401"/>
      <c r="AJ255" s="401"/>
      <c r="AK255" s="401"/>
      <c r="AL255" s="401"/>
      <c r="AM255" s="401"/>
      <c r="AN255" s="401"/>
      <c r="AO255" s="401"/>
    </row>
    <row r="256" spans="1:41" x14ac:dyDescent="0.2">
      <c r="A256" s="423">
        <v>40677</v>
      </c>
      <c r="B256" s="1834" t="s">
        <v>813</v>
      </c>
      <c r="C256" s="1835"/>
      <c r="D256" s="1835"/>
      <c r="E256" s="1836"/>
      <c r="L256" s="401"/>
      <c r="M256" s="401"/>
      <c r="N256" s="401"/>
      <c r="O256" s="401"/>
      <c r="P256" s="401"/>
      <c r="Q256" s="401"/>
      <c r="R256" s="401"/>
      <c r="S256" s="401"/>
      <c r="T256" s="401"/>
      <c r="U256" s="401"/>
      <c r="V256" s="401"/>
      <c r="W256" s="401"/>
      <c r="X256" s="401"/>
      <c r="Y256" s="401"/>
      <c r="Z256" s="401"/>
      <c r="AA256" s="401"/>
      <c r="AB256" s="401"/>
      <c r="AC256" s="401"/>
      <c r="AD256" s="401"/>
      <c r="AE256" s="401"/>
      <c r="AF256" s="401"/>
      <c r="AG256" s="401"/>
      <c r="AH256" s="401"/>
      <c r="AI256" s="401"/>
      <c r="AJ256" s="401"/>
      <c r="AK256" s="401"/>
      <c r="AL256" s="401"/>
      <c r="AM256" s="401"/>
      <c r="AN256" s="401"/>
      <c r="AO256" s="401"/>
    </row>
    <row r="257" spans="1:41" ht="15" x14ac:dyDescent="0.25">
      <c r="A257" s="423">
        <v>40678</v>
      </c>
      <c r="B257" s="424">
        <v>1</v>
      </c>
      <c r="C257" s="425">
        <v>0</v>
      </c>
      <c r="D257" s="425">
        <v>0</v>
      </c>
      <c r="E257" s="426">
        <f>(B257-C257)/(B257+D257)</f>
        <v>1</v>
      </c>
      <c r="L257" s="401"/>
      <c r="M257" s="401"/>
      <c r="N257" s="401"/>
      <c r="O257" s="401"/>
      <c r="P257" s="401"/>
      <c r="Q257" s="401"/>
      <c r="R257" s="401"/>
      <c r="S257" s="401"/>
      <c r="T257" s="401"/>
      <c r="U257" s="401"/>
      <c r="V257" s="401"/>
      <c r="W257" s="401"/>
      <c r="X257" s="401"/>
      <c r="Y257" s="401"/>
      <c r="Z257" s="401"/>
      <c r="AA257" s="401"/>
      <c r="AB257" s="401"/>
      <c r="AC257" s="401"/>
      <c r="AD257" s="401"/>
      <c r="AE257" s="401"/>
      <c r="AF257" s="401"/>
      <c r="AG257" s="401"/>
      <c r="AH257" s="401"/>
      <c r="AI257" s="401"/>
      <c r="AJ257" s="401"/>
      <c r="AK257" s="401"/>
      <c r="AL257" s="401"/>
      <c r="AM257" s="401"/>
      <c r="AN257" s="401"/>
      <c r="AO257" s="401"/>
    </row>
    <row r="258" spans="1:41" x14ac:dyDescent="0.2">
      <c r="A258" s="423">
        <v>40679</v>
      </c>
      <c r="B258" s="1834" t="s">
        <v>813</v>
      </c>
      <c r="C258" s="1835"/>
      <c r="D258" s="1835"/>
      <c r="E258" s="1836"/>
      <c r="L258" s="401"/>
      <c r="M258" s="401"/>
      <c r="N258" s="401"/>
      <c r="O258" s="401"/>
      <c r="P258" s="401"/>
      <c r="Q258" s="401"/>
      <c r="R258" s="401"/>
      <c r="S258" s="401"/>
      <c r="T258" s="401"/>
      <c r="U258" s="401"/>
      <c r="V258" s="401"/>
      <c r="W258" s="401"/>
      <c r="X258" s="401"/>
      <c r="Y258" s="401"/>
      <c r="Z258" s="401"/>
      <c r="AA258" s="401"/>
      <c r="AB258" s="401"/>
      <c r="AC258" s="401"/>
      <c r="AD258" s="401"/>
      <c r="AE258" s="401"/>
      <c r="AF258" s="401"/>
      <c r="AG258" s="401"/>
      <c r="AH258" s="401"/>
      <c r="AI258" s="401"/>
      <c r="AJ258" s="401"/>
      <c r="AK258" s="401"/>
      <c r="AL258" s="401"/>
      <c r="AM258" s="401"/>
      <c r="AN258" s="401"/>
      <c r="AO258" s="401"/>
    </row>
    <row r="259" spans="1:41" x14ac:dyDescent="0.2">
      <c r="A259" s="423">
        <v>40680</v>
      </c>
      <c r="B259" s="1834" t="s">
        <v>813</v>
      </c>
      <c r="C259" s="1835"/>
      <c r="D259" s="1835"/>
      <c r="E259" s="1836"/>
      <c r="L259" s="401"/>
      <c r="M259" s="401"/>
      <c r="N259" s="401"/>
      <c r="O259" s="401"/>
      <c r="P259" s="401"/>
      <c r="Q259" s="401"/>
      <c r="R259" s="401"/>
      <c r="S259" s="401"/>
      <c r="T259" s="401"/>
      <c r="U259" s="401"/>
      <c r="V259" s="401"/>
      <c r="W259" s="401"/>
      <c r="X259" s="401"/>
      <c r="Y259" s="401"/>
      <c r="Z259" s="401"/>
      <c r="AA259" s="401"/>
      <c r="AB259" s="401"/>
      <c r="AC259" s="401"/>
      <c r="AD259" s="401"/>
      <c r="AE259" s="401"/>
      <c r="AF259" s="401"/>
      <c r="AG259" s="401"/>
      <c r="AH259" s="401"/>
      <c r="AI259" s="401"/>
      <c r="AJ259" s="401"/>
      <c r="AK259" s="401"/>
      <c r="AL259" s="401"/>
      <c r="AM259" s="401"/>
      <c r="AN259" s="401"/>
      <c r="AO259" s="401"/>
    </row>
    <row r="260" spans="1:41" ht="15" x14ac:dyDescent="0.25">
      <c r="A260" s="423">
        <v>40681</v>
      </c>
      <c r="B260" s="424">
        <v>4</v>
      </c>
      <c r="C260" s="425">
        <v>0</v>
      </c>
      <c r="D260" s="425">
        <v>0</v>
      </c>
      <c r="E260" s="426">
        <f>(B260-C260)/(B260+D260)</f>
        <v>1</v>
      </c>
      <c r="L260" s="401"/>
      <c r="M260" s="401"/>
      <c r="N260" s="401"/>
      <c r="O260" s="401"/>
      <c r="P260" s="401"/>
      <c r="Q260" s="401"/>
      <c r="R260" s="401"/>
      <c r="S260" s="401"/>
      <c r="T260" s="401"/>
      <c r="U260" s="401"/>
      <c r="V260" s="401"/>
      <c r="W260" s="401"/>
      <c r="X260" s="401"/>
      <c r="Y260" s="401"/>
      <c r="Z260" s="401"/>
      <c r="AA260" s="401"/>
      <c r="AB260" s="401"/>
      <c r="AC260" s="401"/>
      <c r="AD260" s="401"/>
      <c r="AE260" s="401"/>
      <c r="AF260" s="401"/>
      <c r="AG260" s="401"/>
      <c r="AH260" s="401"/>
      <c r="AI260" s="401"/>
      <c r="AJ260" s="401"/>
      <c r="AK260" s="401"/>
      <c r="AL260" s="401"/>
      <c r="AM260" s="401"/>
      <c r="AN260" s="401"/>
      <c r="AO260" s="401"/>
    </row>
    <row r="261" spans="1:41" ht="15" x14ac:dyDescent="0.25">
      <c r="A261" s="423">
        <v>40682</v>
      </c>
      <c r="B261" s="424">
        <v>5</v>
      </c>
      <c r="C261" s="425">
        <v>0</v>
      </c>
      <c r="D261" s="425">
        <v>0</v>
      </c>
      <c r="E261" s="426">
        <f>(B261-C261)/(B261+D261)</f>
        <v>1</v>
      </c>
      <c r="L261" s="401"/>
      <c r="M261" s="401"/>
      <c r="N261" s="401"/>
      <c r="O261" s="401"/>
      <c r="P261" s="401"/>
      <c r="Q261" s="401"/>
      <c r="R261" s="401"/>
      <c r="S261" s="401"/>
      <c r="T261" s="401"/>
      <c r="U261" s="401"/>
      <c r="V261" s="401"/>
      <c r="W261" s="401"/>
      <c r="X261" s="401"/>
      <c r="Y261" s="401"/>
      <c r="Z261" s="401"/>
      <c r="AA261" s="401"/>
      <c r="AB261" s="401"/>
      <c r="AC261" s="401"/>
      <c r="AD261" s="401"/>
      <c r="AE261" s="401"/>
      <c r="AF261" s="401"/>
      <c r="AG261" s="401"/>
      <c r="AH261" s="401"/>
      <c r="AI261" s="401"/>
      <c r="AJ261" s="401"/>
      <c r="AK261" s="401"/>
      <c r="AL261" s="401"/>
      <c r="AM261" s="401"/>
      <c r="AN261" s="401"/>
      <c r="AO261" s="401"/>
    </row>
    <row r="262" spans="1:41" ht="15" x14ac:dyDescent="0.25">
      <c r="A262" s="423">
        <v>40683</v>
      </c>
      <c r="B262" s="424">
        <v>4</v>
      </c>
      <c r="C262" s="425">
        <v>0</v>
      </c>
      <c r="D262" s="425">
        <v>0</v>
      </c>
      <c r="E262" s="426">
        <f>(B262-C262)/(B262+D262)</f>
        <v>1</v>
      </c>
      <c r="L262" s="401"/>
      <c r="M262" s="401"/>
      <c r="N262" s="401"/>
      <c r="O262" s="401"/>
      <c r="P262" s="401"/>
      <c r="Q262" s="401"/>
      <c r="R262" s="401"/>
      <c r="S262" s="401"/>
      <c r="T262" s="401"/>
      <c r="U262" s="401"/>
      <c r="V262" s="401"/>
      <c r="W262" s="401"/>
      <c r="X262" s="401"/>
      <c r="Y262" s="401"/>
      <c r="Z262" s="401"/>
      <c r="AA262" s="401"/>
      <c r="AB262" s="401"/>
      <c r="AC262" s="401"/>
      <c r="AD262" s="401"/>
      <c r="AE262" s="401"/>
      <c r="AF262" s="401"/>
      <c r="AG262" s="401"/>
      <c r="AH262" s="401"/>
      <c r="AI262" s="401"/>
      <c r="AJ262" s="401"/>
      <c r="AK262" s="401"/>
      <c r="AL262" s="401"/>
      <c r="AM262" s="401"/>
      <c r="AN262" s="401"/>
      <c r="AO262" s="401"/>
    </row>
    <row r="263" spans="1:41" x14ac:dyDescent="0.2">
      <c r="A263" s="423">
        <v>40684</v>
      </c>
      <c r="B263" s="1834" t="s">
        <v>813</v>
      </c>
      <c r="C263" s="1835"/>
      <c r="D263" s="1835"/>
      <c r="E263" s="1836"/>
      <c r="L263" s="401"/>
      <c r="M263" s="401"/>
      <c r="N263" s="401"/>
      <c r="O263" s="401"/>
      <c r="P263" s="401"/>
      <c r="Q263" s="401"/>
      <c r="R263" s="401"/>
      <c r="S263" s="401"/>
      <c r="T263" s="401"/>
      <c r="U263" s="401"/>
      <c r="V263" s="401"/>
      <c r="W263" s="401"/>
      <c r="X263" s="401"/>
      <c r="Y263" s="401"/>
      <c r="Z263" s="401"/>
      <c r="AA263" s="401"/>
      <c r="AB263" s="401"/>
      <c r="AC263" s="401"/>
      <c r="AD263" s="401"/>
      <c r="AE263" s="401"/>
      <c r="AF263" s="401"/>
      <c r="AG263" s="401"/>
      <c r="AH263" s="401"/>
      <c r="AI263" s="401"/>
      <c r="AJ263" s="401"/>
      <c r="AK263" s="401"/>
      <c r="AL263" s="401"/>
      <c r="AM263" s="401"/>
      <c r="AN263" s="401"/>
      <c r="AO263" s="401"/>
    </row>
    <row r="264" spans="1:41" x14ac:dyDescent="0.2">
      <c r="A264" s="423">
        <v>40685</v>
      </c>
      <c r="B264" s="1834" t="s">
        <v>813</v>
      </c>
      <c r="C264" s="1835"/>
      <c r="D264" s="1835"/>
      <c r="E264" s="1836"/>
      <c r="L264" s="401"/>
      <c r="M264" s="401"/>
      <c r="N264" s="401"/>
      <c r="O264" s="401"/>
      <c r="P264" s="401"/>
      <c r="Q264" s="401"/>
      <c r="R264" s="401"/>
      <c r="S264" s="401"/>
      <c r="T264" s="401"/>
      <c r="U264" s="401"/>
      <c r="V264" s="401"/>
      <c r="W264" s="401"/>
      <c r="X264" s="401"/>
      <c r="Y264" s="401"/>
      <c r="Z264" s="401"/>
      <c r="AA264" s="401"/>
      <c r="AB264" s="401"/>
      <c r="AC264" s="401"/>
      <c r="AD264" s="401"/>
      <c r="AE264" s="401"/>
      <c r="AF264" s="401"/>
      <c r="AG264" s="401"/>
      <c r="AH264" s="401"/>
      <c r="AI264" s="401"/>
      <c r="AJ264" s="401"/>
      <c r="AK264" s="401"/>
      <c r="AL264" s="401"/>
      <c r="AM264" s="401"/>
      <c r="AN264" s="401"/>
      <c r="AO264" s="401"/>
    </row>
    <row r="265" spans="1:41" ht="15" x14ac:dyDescent="0.25">
      <c r="A265" s="423">
        <v>40686</v>
      </c>
      <c r="B265" s="424">
        <v>9</v>
      </c>
      <c r="C265" s="425">
        <v>0</v>
      </c>
      <c r="D265" s="425">
        <v>0</v>
      </c>
      <c r="E265" s="426">
        <f>(B265-C265)/(B265+D265)</f>
        <v>1</v>
      </c>
      <c r="L265" s="401"/>
      <c r="M265" s="401"/>
      <c r="N265" s="401"/>
      <c r="O265" s="401"/>
      <c r="P265" s="401"/>
      <c r="Q265" s="401"/>
      <c r="R265" s="401"/>
      <c r="S265" s="401"/>
      <c r="T265" s="401"/>
      <c r="U265" s="401"/>
      <c r="V265" s="401"/>
      <c r="W265" s="401"/>
      <c r="X265" s="401"/>
      <c r="Y265" s="401"/>
      <c r="Z265" s="401"/>
      <c r="AA265" s="401"/>
      <c r="AB265" s="401"/>
      <c r="AC265" s="401"/>
      <c r="AD265" s="401"/>
      <c r="AE265" s="401"/>
      <c r="AF265" s="401"/>
      <c r="AG265" s="401"/>
      <c r="AH265" s="401"/>
      <c r="AI265" s="401"/>
      <c r="AJ265" s="401"/>
      <c r="AK265" s="401"/>
      <c r="AL265" s="401"/>
      <c r="AM265" s="401"/>
      <c r="AN265" s="401"/>
      <c r="AO265" s="401"/>
    </row>
    <row r="266" spans="1:41" ht="15" x14ac:dyDescent="0.25">
      <c r="A266" s="423">
        <v>40687</v>
      </c>
      <c r="B266" s="424"/>
      <c r="C266" s="425"/>
      <c r="D266" s="425"/>
      <c r="E266" s="426"/>
      <c r="L266" s="401"/>
      <c r="M266" s="401"/>
      <c r="N266" s="401"/>
      <c r="O266" s="401"/>
      <c r="P266" s="401"/>
      <c r="Q266" s="401"/>
      <c r="R266" s="401"/>
      <c r="S266" s="401"/>
      <c r="T266" s="401"/>
      <c r="U266" s="401"/>
      <c r="V266" s="401"/>
      <c r="W266" s="401"/>
      <c r="X266" s="401"/>
      <c r="Y266" s="401"/>
      <c r="Z266" s="401"/>
      <c r="AA266" s="401"/>
      <c r="AB266" s="401"/>
      <c r="AC266" s="401"/>
      <c r="AD266" s="401"/>
      <c r="AE266" s="401"/>
      <c r="AF266" s="401"/>
      <c r="AG266" s="401"/>
      <c r="AH266" s="401"/>
      <c r="AI266" s="401"/>
      <c r="AJ266" s="401"/>
      <c r="AK266" s="401"/>
      <c r="AL266" s="401"/>
      <c r="AM266" s="401"/>
      <c r="AN266" s="401"/>
      <c r="AO266" s="401"/>
    </row>
    <row r="267" spans="1:41" ht="15" x14ac:dyDescent="0.25">
      <c r="A267" s="423">
        <v>40688</v>
      </c>
      <c r="B267" s="424"/>
      <c r="C267" s="425"/>
      <c r="D267" s="425"/>
      <c r="E267" s="426"/>
      <c r="L267" s="401"/>
      <c r="M267" s="401"/>
      <c r="N267" s="401"/>
      <c r="O267" s="401"/>
      <c r="P267" s="401"/>
      <c r="Q267" s="401"/>
      <c r="R267" s="401"/>
      <c r="S267" s="401"/>
      <c r="T267" s="401"/>
      <c r="U267" s="401"/>
      <c r="V267" s="401"/>
      <c r="W267" s="401"/>
      <c r="X267" s="401"/>
      <c r="Y267" s="401"/>
      <c r="Z267" s="401"/>
      <c r="AA267" s="401"/>
      <c r="AB267" s="401"/>
      <c r="AC267" s="401"/>
      <c r="AD267" s="401"/>
      <c r="AE267" s="401"/>
      <c r="AF267" s="401"/>
      <c r="AG267" s="401"/>
      <c r="AH267" s="401"/>
      <c r="AI267" s="401"/>
      <c r="AJ267" s="401"/>
      <c r="AK267" s="401"/>
      <c r="AL267" s="401"/>
      <c r="AM267" s="401"/>
      <c r="AN267" s="401"/>
      <c r="AO267" s="401"/>
    </row>
    <row r="268" spans="1:41" ht="15" x14ac:dyDescent="0.25">
      <c r="A268" s="423">
        <v>40689</v>
      </c>
      <c r="B268" s="424"/>
      <c r="C268" s="425"/>
      <c r="D268" s="425"/>
      <c r="E268" s="426"/>
      <c r="L268" s="401"/>
      <c r="M268" s="401"/>
      <c r="N268" s="401"/>
      <c r="O268" s="401"/>
      <c r="P268" s="401"/>
      <c r="Q268" s="401"/>
      <c r="R268" s="401"/>
      <c r="S268" s="401"/>
      <c r="T268" s="401"/>
      <c r="U268" s="401"/>
      <c r="V268" s="401"/>
      <c r="W268" s="401"/>
      <c r="X268" s="401"/>
      <c r="Y268" s="401"/>
      <c r="Z268" s="401"/>
      <c r="AA268" s="401"/>
      <c r="AB268" s="401"/>
      <c r="AC268" s="401"/>
      <c r="AD268" s="401"/>
      <c r="AE268" s="401"/>
      <c r="AF268" s="401"/>
      <c r="AG268" s="401"/>
      <c r="AH268" s="401"/>
      <c r="AI268" s="401"/>
      <c r="AJ268" s="401"/>
      <c r="AK268" s="401"/>
      <c r="AL268" s="401"/>
      <c r="AM268" s="401"/>
      <c r="AN268" s="401"/>
      <c r="AO268" s="401"/>
    </row>
    <row r="269" spans="1:41" ht="15" x14ac:dyDescent="0.25">
      <c r="A269" s="423">
        <v>40690</v>
      </c>
      <c r="B269" s="424"/>
      <c r="C269" s="425"/>
      <c r="D269" s="425"/>
      <c r="E269" s="426"/>
      <c r="L269" s="401"/>
      <c r="M269" s="401"/>
      <c r="N269" s="401"/>
      <c r="O269" s="401"/>
      <c r="P269" s="401"/>
      <c r="Q269" s="401"/>
      <c r="R269" s="401"/>
      <c r="S269" s="401"/>
      <c r="T269" s="401"/>
      <c r="U269" s="401"/>
      <c r="V269" s="401"/>
      <c r="W269" s="401"/>
      <c r="X269" s="401"/>
      <c r="Y269" s="401"/>
      <c r="Z269" s="401"/>
      <c r="AA269" s="401"/>
      <c r="AB269" s="401"/>
      <c r="AC269" s="401"/>
      <c r="AD269" s="401"/>
      <c r="AE269" s="401"/>
      <c r="AF269" s="401"/>
      <c r="AG269" s="401"/>
      <c r="AH269" s="401"/>
      <c r="AI269" s="401"/>
      <c r="AJ269" s="401"/>
      <c r="AK269" s="401"/>
      <c r="AL269" s="401"/>
      <c r="AM269" s="401"/>
      <c r="AN269" s="401"/>
      <c r="AO269" s="401"/>
    </row>
    <row r="270" spans="1:41" ht="15" x14ac:dyDescent="0.25">
      <c r="A270" s="423">
        <v>40691</v>
      </c>
      <c r="B270" s="424"/>
      <c r="C270" s="425"/>
      <c r="D270" s="425"/>
      <c r="E270" s="426"/>
      <c r="L270" s="401"/>
      <c r="M270" s="401"/>
      <c r="N270" s="401"/>
      <c r="O270" s="401"/>
      <c r="P270" s="401"/>
      <c r="Q270" s="401"/>
      <c r="R270" s="401"/>
      <c r="S270" s="401"/>
      <c r="T270" s="401"/>
      <c r="U270" s="401"/>
      <c r="V270" s="401"/>
      <c r="W270" s="401"/>
      <c r="X270" s="401"/>
      <c r="Y270" s="401"/>
      <c r="Z270" s="401"/>
      <c r="AA270" s="401"/>
      <c r="AB270" s="401"/>
      <c r="AC270" s="401"/>
      <c r="AD270" s="401"/>
      <c r="AE270" s="401"/>
      <c r="AF270" s="401"/>
      <c r="AG270" s="401"/>
      <c r="AH270" s="401"/>
      <c r="AI270" s="401"/>
      <c r="AJ270" s="401"/>
      <c r="AK270" s="401"/>
      <c r="AL270" s="401"/>
      <c r="AM270" s="401"/>
      <c r="AN270" s="401"/>
      <c r="AO270" s="401"/>
    </row>
    <row r="271" spans="1:41" ht="15" x14ac:dyDescent="0.25">
      <c r="A271" s="423">
        <v>40692</v>
      </c>
      <c r="B271" s="424"/>
      <c r="C271" s="425"/>
      <c r="D271" s="425"/>
      <c r="E271" s="426"/>
      <c r="L271" s="401"/>
      <c r="M271" s="401"/>
      <c r="N271" s="401"/>
      <c r="O271" s="401"/>
      <c r="P271" s="401"/>
      <c r="Q271" s="401"/>
      <c r="R271" s="401"/>
      <c r="S271" s="401"/>
      <c r="T271" s="401"/>
      <c r="U271" s="401"/>
      <c r="V271" s="401"/>
      <c r="W271" s="401"/>
      <c r="X271" s="401"/>
      <c r="Y271" s="401"/>
      <c r="Z271" s="401"/>
      <c r="AA271" s="401"/>
      <c r="AB271" s="401"/>
      <c r="AC271" s="401"/>
      <c r="AD271" s="401"/>
      <c r="AE271" s="401"/>
      <c r="AF271" s="401"/>
      <c r="AG271" s="401"/>
      <c r="AH271" s="401"/>
      <c r="AI271" s="401"/>
      <c r="AJ271" s="401"/>
      <c r="AK271" s="401"/>
      <c r="AL271" s="401"/>
      <c r="AM271" s="401"/>
      <c r="AN271" s="401"/>
      <c r="AO271" s="401"/>
    </row>
    <row r="272" spans="1:41" ht="15" x14ac:dyDescent="0.25">
      <c r="A272" s="423">
        <v>40693</v>
      </c>
      <c r="B272" s="424"/>
      <c r="C272" s="425"/>
      <c r="D272" s="425"/>
      <c r="E272" s="426"/>
      <c r="L272" s="401"/>
      <c r="M272" s="401"/>
      <c r="N272" s="401"/>
      <c r="O272" s="401"/>
      <c r="P272" s="401"/>
      <c r="Q272" s="401"/>
      <c r="R272" s="401"/>
      <c r="S272" s="401"/>
      <c r="T272" s="401"/>
      <c r="U272" s="401"/>
      <c r="V272" s="401"/>
      <c r="W272" s="401"/>
      <c r="X272" s="401"/>
      <c r="Y272" s="401"/>
      <c r="Z272" s="401"/>
      <c r="AA272" s="401"/>
      <c r="AB272" s="401"/>
      <c r="AC272" s="401"/>
      <c r="AD272" s="401"/>
      <c r="AE272" s="401"/>
      <c r="AF272" s="401"/>
      <c r="AG272" s="401"/>
      <c r="AH272" s="401"/>
      <c r="AI272" s="401"/>
      <c r="AJ272" s="401"/>
      <c r="AK272" s="401"/>
      <c r="AL272" s="401"/>
      <c r="AM272" s="401"/>
      <c r="AN272" s="401"/>
      <c r="AO272" s="401"/>
    </row>
    <row r="273" spans="1:41" ht="15" x14ac:dyDescent="0.25">
      <c r="A273" s="423">
        <v>40694</v>
      </c>
      <c r="B273" s="424"/>
      <c r="C273" s="425"/>
      <c r="D273" s="425"/>
      <c r="E273" s="426"/>
      <c r="L273" s="401"/>
      <c r="M273" s="401"/>
      <c r="N273" s="401"/>
      <c r="O273" s="401"/>
      <c r="P273" s="401"/>
      <c r="Q273" s="401"/>
      <c r="R273" s="401"/>
      <c r="S273" s="401"/>
      <c r="T273" s="401"/>
      <c r="U273" s="401"/>
      <c r="V273" s="401"/>
      <c r="W273" s="401"/>
      <c r="X273" s="401"/>
      <c r="Y273" s="401"/>
      <c r="Z273" s="401"/>
      <c r="AA273" s="401"/>
      <c r="AB273" s="401"/>
      <c r="AC273" s="401"/>
      <c r="AD273" s="401"/>
      <c r="AE273" s="401"/>
      <c r="AF273" s="401"/>
      <c r="AG273" s="401"/>
      <c r="AH273" s="401"/>
      <c r="AI273" s="401"/>
      <c r="AJ273" s="401"/>
      <c r="AK273" s="401"/>
      <c r="AL273" s="401"/>
      <c r="AM273" s="401"/>
      <c r="AN273" s="401"/>
      <c r="AO273" s="401"/>
    </row>
    <row r="274" spans="1:41" x14ac:dyDescent="0.2">
      <c r="L274" s="401"/>
      <c r="M274" s="401"/>
      <c r="N274" s="401"/>
      <c r="O274" s="401"/>
      <c r="P274" s="401"/>
      <c r="Q274" s="401"/>
      <c r="R274" s="401"/>
      <c r="S274" s="401"/>
      <c r="T274" s="401"/>
      <c r="U274" s="401"/>
      <c r="V274" s="401"/>
      <c r="W274" s="401"/>
      <c r="X274" s="401"/>
      <c r="Y274" s="401"/>
      <c r="Z274" s="401"/>
      <c r="AA274" s="401"/>
      <c r="AB274" s="401"/>
      <c r="AC274" s="401"/>
      <c r="AD274" s="401"/>
      <c r="AE274" s="401"/>
      <c r="AF274" s="401"/>
      <c r="AG274" s="401"/>
      <c r="AH274" s="401"/>
      <c r="AI274" s="401"/>
      <c r="AJ274" s="401"/>
      <c r="AK274" s="401"/>
      <c r="AL274" s="401"/>
      <c r="AM274" s="401"/>
      <c r="AN274" s="401"/>
      <c r="AO274" s="401"/>
    </row>
    <row r="275" spans="1:41" ht="18.75" x14ac:dyDescent="0.3">
      <c r="A275" s="1837"/>
      <c r="B275" s="1837"/>
      <c r="C275" s="1837"/>
      <c r="D275" s="1837"/>
      <c r="E275" s="1837"/>
      <c r="F275" s="1837"/>
      <c r="G275" s="1837"/>
      <c r="H275" s="1837"/>
      <c r="I275" s="1837"/>
      <c r="J275" s="1837"/>
      <c r="K275" s="1837"/>
      <c r="L275" s="1837"/>
      <c r="M275" s="1837"/>
      <c r="N275" s="1837"/>
      <c r="O275" s="1837"/>
      <c r="P275" s="401"/>
      <c r="Q275" s="401"/>
      <c r="R275" s="401"/>
      <c r="S275" s="401"/>
      <c r="T275" s="401"/>
      <c r="U275" s="401"/>
      <c r="V275" s="401"/>
      <c r="W275" s="401"/>
      <c r="X275" s="401"/>
      <c r="Y275" s="401"/>
      <c r="Z275" s="401"/>
      <c r="AA275" s="401"/>
      <c r="AB275" s="401"/>
      <c r="AC275" s="401"/>
      <c r="AD275" s="401"/>
      <c r="AE275" s="401"/>
      <c r="AF275" s="401"/>
      <c r="AG275" s="401"/>
      <c r="AH275" s="401"/>
      <c r="AI275" s="401"/>
      <c r="AJ275" s="401"/>
      <c r="AK275" s="401"/>
      <c r="AL275" s="401"/>
      <c r="AM275" s="401"/>
      <c r="AN275" s="401"/>
      <c r="AO275" s="401"/>
    </row>
    <row r="276" spans="1:41" x14ac:dyDescent="0.2">
      <c r="A276" s="401"/>
      <c r="B276" s="427"/>
      <c r="C276" s="401"/>
      <c r="D276" s="401"/>
      <c r="E276" s="401"/>
      <c r="F276" s="401"/>
      <c r="G276" s="401"/>
      <c r="H276" s="401"/>
      <c r="I276" s="401"/>
      <c r="J276" s="401"/>
      <c r="K276" s="401"/>
      <c r="L276" s="401"/>
      <c r="M276" s="401"/>
      <c r="N276" s="401"/>
      <c r="O276" s="401"/>
      <c r="P276" s="401"/>
      <c r="Q276" s="401"/>
      <c r="R276" s="401"/>
      <c r="S276" s="401"/>
      <c r="T276" s="401"/>
      <c r="U276" s="401"/>
      <c r="V276" s="401"/>
      <c r="W276" s="401"/>
      <c r="X276" s="401"/>
      <c r="Y276" s="401"/>
      <c r="Z276" s="401"/>
      <c r="AA276" s="401"/>
      <c r="AB276" s="401"/>
      <c r="AC276" s="401"/>
      <c r="AD276" s="401"/>
      <c r="AE276" s="401"/>
      <c r="AF276" s="401"/>
      <c r="AG276" s="401"/>
      <c r="AH276" s="401"/>
      <c r="AI276" s="401"/>
      <c r="AJ276" s="401"/>
      <c r="AK276" s="401"/>
      <c r="AL276" s="401"/>
      <c r="AM276" s="401"/>
      <c r="AN276" s="401"/>
      <c r="AO276" s="401"/>
    </row>
    <row r="277" spans="1:41" x14ac:dyDescent="0.2">
      <c r="A277" s="428"/>
      <c r="B277" s="1838"/>
      <c r="C277" s="1838"/>
      <c r="D277" s="1838"/>
      <c r="E277" s="1838"/>
      <c r="F277" s="1838"/>
      <c r="G277" s="428"/>
      <c r="H277" s="1838"/>
      <c r="I277" s="1838"/>
      <c r="J277" s="1838"/>
      <c r="K277" s="1838"/>
      <c r="L277" s="1838"/>
      <c r="M277" s="1838"/>
      <c r="N277" s="1838"/>
      <c r="O277" s="1838"/>
      <c r="P277" s="401"/>
      <c r="Q277" s="401"/>
      <c r="R277" s="401"/>
      <c r="S277" s="401"/>
      <c r="T277" s="401"/>
      <c r="U277" s="401"/>
      <c r="V277" s="401"/>
      <c r="W277" s="401"/>
      <c r="X277" s="401"/>
      <c r="Y277" s="401"/>
      <c r="Z277" s="401"/>
      <c r="AA277" s="401"/>
      <c r="AB277" s="401"/>
      <c r="AC277" s="401"/>
      <c r="AD277" s="401"/>
      <c r="AE277" s="401"/>
      <c r="AF277" s="401"/>
      <c r="AG277" s="401"/>
      <c r="AH277" s="401"/>
      <c r="AI277" s="401"/>
      <c r="AJ277" s="401"/>
      <c r="AK277" s="401"/>
      <c r="AL277" s="401"/>
      <c r="AM277" s="401"/>
      <c r="AN277" s="401"/>
      <c r="AO277" s="401"/>
    </row>
    <row r="278" spans="1:41" x14ac:dyDescent="0.2">
      <c r="A278" s="1838"/>
      <c r="B278" s="1838"/>
      <c r="C278" s="1838"/>
      <c r="D278" s="1838"/>
      <c r="E278" s="1838"/>
      <c r="F278" s="1838"/>
      <c r="G278" s="1838"/>
      <c r="H278" s="1838"/>
      <c r="I278" s="1838"/>
      <c r="J278" s="1838"/>
      <c r="K278" s="1838"/>
      <c r="L278" s="1838"/>
      <c r="M278" s="1838"/>
      <c r="N278" s="1838"/>
      <c r="O278" s="1838"/>
      <c r="P278" s="401"/>
      <c r="Q278" s="401"/>
      <c r="R278" s="401"/>
      <c r="S278" s="401"/>
      <c r="T278" s="401"/>
      <c r="U278" s="401"/>
      <c r="V278" s="401"/>
      <c r="W278" s="401"/>
      <c r="X278" s="401"/>
      <c r="Y278" s="401"/>
      <c r="Z278" s="401"/>
      <c r="AA278" s="401"/>
      <c r="AB278" s="401"/>
      <c r="AC278" s="401"/>
      <c r="AD278" s="401"/>
      <c r="AE278" s="401"/>
      <c r="AF278" s="401"/>
      <c r="AG278" s="401"/>
      <c r="AH278" s="401"/>
      <c r="AI278" s="401"/>
      <c r="AJ278" s="401"/>
      <c r="AK278" s="401"/>
      <c r="AL278" s="401"/>
      <c r="AM278" s="401"/>
      <c r="AN278" s="401"/>
      <c r="AO278" s="401"/>
    </row>
    <row r="279" spans="1:41" x14ac:dyDescent="0.2">
      <c r="A279" s="429"/>
      <c r="B279" s="1839"/>
      <c r="C279" s="1839"/>
      <c r="D279" s="1839"/>
      <c r="E279" s="1839"/>
      <c r="F279" s="1839"/>
      <c r="G279" s="429"/>
      <c r="H279" s="1840"/>
      <c r="I279" s="1840"/>
      <c r="J279" s="1840"/>
      <c r="K279" s="1840"/>
      <c r="L279" s="1840"/>
      <c r="M279" s="1840"/>
      <c r="N279" s="1840"/>
      <c r="O279" s="1840"/>
      <c r="P279" s="401"/>
      <c r="Q279" s="401"/>
      <c r="R279" s="401"/>
      <c r="S279" s="401"/>
      <c r="T279" s="401"/>
      <c r="U279" s="401"/>
      <c r="V279" s="401"/>
      <c r="W279" s="401"/>
      <c r="X279" s="401"/>
      <c r="Y279" s="401"/>
      <c r="Z279" s="401"/>
      <c r="AA279" s="401"/>
      <c r="AB279" s="401"/>
      <c r="AC279" s="401"/>
      <c r="AD279" s="401"/>
      <c r="AE279" s="401"/>
      <c r="AF279" s="401"/>
      <c r="AG279" s="401"/>
      <c r="AH279" s="401"/>
      <c r="AI279" s="401"/>
      <c r="AJ279" s="401"/>
      <c r="AK279" s="401"/>
      <c r="AL279" s="401"/>
      <c r="AM279" s="401"/>
      <c r="AN279" s="401"/>
      <c r="AO279" s="401"/>
    </row>
    <row r="280" spans="1:41" x14ac:dyDescent="0.2">
      <c r="A280" s="429"/>
      <c r="B280" s="1839"/>
      <c r="C280" s="1839"/>
      <c r="D280" s="1839"/>
      <c r="E280" s="1839"/>
      <c r="F280" s="1839"/>
      <c r="G280" s="429"/>
      <c r="H280" s="1840"/>
      <c r="I280" s="1840"/>
      <c r="J280" s="1840"/>
      <c r="K280" s="1840"/>
      <c r="L280" s="1840"/>
      <c r="M280" s="1840"/>
      <c r="N280" s="1840"/>
      <c r="O280" s="1840"/>
      <c r="P280" s="401"/>
      <c r="Q280" s="401"/>
      <c r="R280" s="401"/>
      <c r="S280" s="401"/>
      <c r="T280" s="401"/>
      <c r="U280" s="401"/>
      <c r="V280" s="401"/>
      <c r="W280" s="401"/>
      <c r="X280" s="401"/>
      <c r="Y280" s="401"/>
      <c r="Z280" s="401"/>
      <c r="AA280" s="401"/>
      <c r="AB280" s="401"/>
      <c r="AC280" s="401"/>
      <c r="AD280" s="401"/>
      <c r="AE280" s="401"/>
      <c r="AF280" s="401"/>
      <c r="AG280" s="401"/>
      <c r="AH280" s="401"/>
      <c r="AI280" s="401"/>
      <c r="AJ280" s="401"/>
      <c r="AK280" s="401"/>
      <c r="AL280" s="401"/>
      <c r="AM280" s="401"/>
      <c r="AN280" s="401"/>
      <c r="AO280" s="401"/>
    </row>
    <row r="281" spans="1:41" x14ac:dyDescent="0.2">
      <c r="A281" s="429"/>
      <c r="B281" s="1839"/>
      <c r="C281" s="1839"/>
      <c r="D281" s="1839"/>
      <c r="E281" s="1839"/>
      <c r="F281" s="1839"/>
      <c r="G281" s="429"/>
      <c r="H281" s="1840"/>
      <c r="I281" s="1840"/>
      <c r="J281" s="1840"/>
      <c r="K281" s="1840"/>
      <c r="L281" s="1840"/>
      <c r="M281" s="1840"/>
      <c r="N281" s="1840"/>
      <c r="O281" s="1840"/>
      <c r="P281" s="401"/>
      <c r="Q281" s="401"/>
      <c r="R281" s="401"/>
      <c r="S281" s="401"/>
      <c r="T281" s="401"/>
      <c r="U281" s="401"/>
      <c r="V281" s="401"/>
      <c r="W281" s="401"/>
      <c r="X281" s="401"/>
      <c r="Y281" s="401"/>
      <c r="Z281" s="401"/>
      <c r="AA281" s="401"/>
      <c r="AB281" s="401"/>
      <c r="AC281" s="401"/>
      <c r="AD281" s="401"/>
      <c r="AE281" s="401"/>
      <c r="AF281" s="401"/>
      <c r="AG281" s="401"/>
      <c r="AH281" s="401"/>
      <c r="AI281" s="401"/>
      <c r="AJ281" s="401"/>
      <c r="AK281" s="401"/>
      <c r="AL281" s="401"/>
      <c r="AM281" s="401"/>
      <c r="AN281" s="401"/>
      <c r="AO281" s="401"/>
    </row>
    <row r="282" spans="1:41" x14ac:dyDescent="0.2">
      <c r="A282" s="429"/>
      <c r="B282" s="1839"/>
      <c r="C282" s="1839"/>
      <c r="D282" s="1839"/>
      <c r="E282" s="1839"/>
      <c r="F282" s="1839"/>
      <c r="G282" s="429"/>
      <c r="H282" s="1840"/>
      <c r="I282" s="1840"/>
      <c r="J282" s="1840"/>
      <c r="K282" s="1840"/>
      <c r="L282" s="1840"/>
      <c r="M282" s="1840"/>
      <c r="N282" s="1840"/>
      <c r="O282" s="1840"/>
      <c r="P282" s="401"/>
      <c r="Q282" s="401"/>
      <c r="R282" s="401"/>
      <c r="S282" s="401"/>
      <c r="T282" s="401"/>
      <c r="U282" s="401"/>
      <c r="V282" s="401"/>
      <c r="W282" s="401"/>
      <c r="X282" s="401"/>
      <c r="Y282" s="401"/>
      <c r="Z282" s="401"/>
      <c r="AA282" s="401"/>
      <c r="AB282" s="401"/>
      <c r="AC282" s="401"/>
      <c r="AD282" s="401"/>
      <c r="AE282" s="401"/>
      <c r="AF282" s="401"/>
      <c r="AG282" s="401"/>
      <c r="AH282" s="401"/>
      <c r="AI282" s="401"/>
      <c r="AJ282" s="401"/>
      <c r="AK282" s="401"/>
      <c r="AL282" s="401"/>
      <c r="AM282" s="401"/>
      <c r="AN282" s="401"/>
      <c r="AO282" s="401"/>
    </row>
    <row r="283" spans="1:41" x14ac:dyDescent="0.2">
      <c r="A283" s="429"/>
      <c r="B283" s="1839"/>
      <c r="C283" s="1839"/>
      <c r="D283" s="1839"/>
      <c r="E283" s="1839"/>
      <c r="F283" s="1839"/>
      <c r="G283" s="429"/>
      <c r="H283" s="1840"/>
      <c r="I283" s="1840"/>
      <c r="J283" s="1840"/>
      <c r="K283" s="1840"/>
      <c r="L283" s="1840"/>
      <c r="M283" s="1840"/>
      <c r="N283" s="1840"/>
      <c r="O283" s="1840"/>
      <c r="P283" s="401"/>
      <c r="Q283" s="401"/>
      <c r="R283" s="401"/>
      <c r="S283" s="401"/>
      <c r="T283" s="401"/>
      <c r="U283" s="401"/>
      <c r="V283" s="401"/>
      <c r="W283" s="401"/>
      <c r="X283" s="401"/>
      <c r="Y283" s="401"/>
      <c r="Z283" s="401"/>
      <c r="AA283" s="401"/>
      <c r="AB283" s="401"/>
      <c r="AC283" s="401"/>
      <c r="AD283" s="401"/>
      <c r="AE283" s="401"/>
      <c r="AF283" s="401"/>
      <c r="AG283" s="401"/>
      <c r="AH283" s="401"/>
      <c r="AI283" s="401"/>
      <c r="AJ283" s="401"/>
      <c r="AK283" s="401"/>
      <c r="AL283" s="401"/>
      <c r="AM283" s="401"/>
      <c r="AN283" s="401"/>
      <c r="AO283" s="401"/>
    </row>
    <row r="284" spans="1:41" x14ac:dyDescent="0.2">
      <c r="A284" s="429"/>
      <c r="B284" s="1839"/>
      <c r="C284" s="1839"/>
      <c r="D284" s="1839"/>
      <c r="E284" s="1839"/>
      <c r="F284" s="1839"/>
      <c r="G284" s="429"/>
      <c r="H284" s="1840"/>
      <c r="I284" s="1840"/>
      <c r="J284" s="1840"/>
      <c r="K284" s="1840"/>
      <c r="L284" s="1840"/>
      <c r="M284" s="1840"/>
      <c r="N284" s="1840"/>
      <c r="O284" s="1840"/>
      <c r="P284" s="401"/>
      <c r="Q284" s="401"/>
      <c r="R284" s="401"/>
      <c r="S284" s="401"/>
      <c r="T284" s="401"/>
      <c r="U284" s="401"/>
      <c r="V284" s="401"/>
      <c r="W284" s="401"/>
      <c r="X284" s="401"/>
      <c r="Y284" s="401"/>
      <c r="Z284" s="401"/>
      <c r="AA284" s="401"/>
      <c r="AB284" s="401"/>
      <c r="AC284" s="401"/>
      <c r="AD284" s="401"/>
      <c r="AE284" s="401"/>
      <c r="AF284" s="401"/>
      <c r="AG284" s="401"/>
      <c r="AH284" s="401"/>
      <c r="AI284" s="401"/>
      <c r="AJ284" s="401"/>
      <c r="AK284" s="401"/>
      <c r="AL284" s="401"/>
      <c r="AM284" s="401"/>
      <c r="AN284" s="401"/>
      <c r="AO284" s="401"/>
    </row>
    <row r="285" spans="1:41" x14ac:dyDescent="0.2">
      <c r="A285" s="429"/>
      <c r="B285" s="1839"/>
      <c r="C285" s="1839"/>
      <c r="D285" s="1839"/>
      <c r="E285" s="1839"/>
      <c r="F285" s="1839"/>
      <c r="G285" s="429"/>
      <c r="H285" s="1840"/>
      <c r="I285" s="1840"/>
      <c r="J285" s="1840"/>
      <c r="K285" s="1840"/>
      <c r="L285" s="1840"/>
      <c r="M285" s="1840"/>
      <c r="N285" s="1840"/>
      <c r="O285" s="1840"/>
      <c r="P285" s="401"/>
      <c r="Q285" s="401"/>
      <c r="R285" s="401"/>
      <c r="S285" s="401"/>
      <c r="T285" s="401"/>
      <c r="U285" s="401"/>
      <c r="V285" s="401"/>
      <c r="W285" s="401"/>
      <c r="X285" s="401"/>
      <c r="Y285" s="401"/>
      <c r="Z285" s="401"/>
      <c r="AA285" s="401"/>
      <c r="AB285" s="401"/>
      <c r="AC285" s="401"/>
      <c r="AD285" s="401"/>
      <c r="AE285" s="401"/>
      <c r="AF285" s="401"/>
      <c r="AG285" s="401"/>
      <c r="AH285" s="401"/>
      <c r="AI285" s="401"/>
      <c r="AJ285" s="401"/>
      <c r="AK285" s="401"/>
      <c r="AL285" s="401"/>
      <c r="AM285" s="401"/>
      <c r="AN285" s="401"/>
      <c r="AO285" s="401"/>
    </row>
    <row r="286" spans="1:41" x14ac:dyDescent="0.2">
      <c r="A286" s="429"/>
      <c r="B286" s="1839"/>
      <c r="C286" s="1839"/>
      <c r="D286" s="1839"/>
      <c r="E286" s="1839"/>
      <c r="F286" s="1839"/>
      <c r="G286" s="429"/>
      <c r="H286" s="1840"/>
      <c r="I286" s="1840"/>
      <c r="J286" s="1840"/>
      <c r="K286" s="1840"/>
      <c r="L286" s="1840"/>
      <c r="M286" s="1840"/>
      <c r="N286" s="1840"/>
      <c r="O286" s="1840"/>
      <c r="P286" s="401"/>
      <c r="Q286" s="401"/>
      <c r="R286" s="401"/>
      <c r="S286" s="401"/>
      <c r="T286" s="401"/>
      <c r="U286" s="401"/>
      <c r="V286" s="401"/>
      <c r="W286" s="401"/>
      <c r="X286" s="401"/>
      <c r="Y286" s="401"/>
      <c r="Z286" s="401"/>
      <c r="AA286" s="401"/>
      <c r="AB286" s="401"/>
      <c r="AC286" s="401"/>
      <c r="AD286" s="401"/>
      <c r="AE286" s="401"/>
      <c r="AF286" s="401"/>
      <c r="AG286" s="401"/>
      <c r="AH286" s="401"/>
      <c r="AI286" s="401"/>
      <c r="AJ286" s="401"/>
      <c r="AK286" s="401"/>
      <c r="AL286" s="401"/>
      <c r="AM286" s="401"/>
      <c r="AN286" s="401"/>
      <c r="AO286" s="401"/>
    </row>
    <row r="287" spans="1:41" x14ac:dyDescent="0.2">
      <c r="A287" s="429"/>
      <c r="B287" s="1839"/>
      <c r="C287" s="1839"/>
      <c r="D287" s="1839"/>
      <c r="E287" s="1839"/>
      <c r="F287" s="1839"/>
      <c r="G287" s="429"/>
      <c r="H287" s="1840"/>
      <c r="I287" s="1840"/>
      <c r="J287" s="1840"/>
      <c r="K287" s="1840"/>
      <c r="L287" s="1840"/>
      <c r="M287" s="1840"/>
      <c r="N287" s="1840"/>
      <c r="O287" s="1840"/>
      <c r="P287" s="401"/>
      <c r="Q287" s="401"/>
      <c r="R287" s="401"/>
      <c r="S287" s="401"/>
      <c r="T287" s="401"/>
      <c r="U287" s="401"/>
      <c r="V287" s="401"/>
      <c r="W287" s="401"/>
      <c r="X287" s="401"/>
      <c r="Y287" s="401"/>
      <c r="Z287" s="401"/>
      <c r="AA287" s="401"/>
      <c r="AB287" s="401"/>
      <c r="AC287" s="401"/>
      <c r="AD287" s="401"/>
      <c r="AE287" s="401"/>
      <c r="AF287" s="401"/>
      <c r="AG287" s="401"/>
      <c r="AH287" s="401"/>
      <c r="AI287" s="401"/>
      <c r="AJ287" s="401"/>
      <c r="AK287" s="401"/>
      <c r="AL287" s="401"/>
      <c r="AM287" s="401"/>
      <c r="AN287" s="401"/>
      <c r="AO287" s="401"/>
    </row>
    <row r="288" spans="1:41" x14ac:dyDescent="0.2">
      <c r="A288" s="429"/>
      <c r="B288" s="1839"/>
      <c r="C288" s="1839"/>
      <c r="D288" s="1839"/>
      <c r="E288" s="1839"/>
      <c r="F288" s="1839"/>
      <c r="G288" s="429"/>
      <c r="H288" s="1840"/>
      <c r="I288" s="1840"/>
      <c r="J288" s="1840"/>
      <c r="K288" s="1840"/>
      <c r="L288" s="1840"/>
      <c r="M288" s="1840"/>
      <c r="N288" s="1840"/>
      <c r="O288" s="1840"/>
      <c r="P288" s="401"/>
      <c r="Q288" s="401"/>
      <c r="R288" s="401"/>
      <c r="S288" s="401"/>
      <c r="T288" s="401"/>
      <c r="U288" s="401"/>
      <c r="V288" s="401"/>
      <c r="W288" s="401"/>
      <c r="X288" s="401"/>
      <c r="Y288" s="401"/>
      <c r="Z288" s="401"/>
      <c r="AA288" s="401"/>
      <c r="AB288" s="401"/>
      <c r="AC288" s="401"/>
      <c r="AD288" s="401"/>
      <c r="AE288" s="401"/>
      <c r="AF288" s="401"/>
      <c r="AG288" s="401"/>
      <c r="AH288" s="401"/>
      <c r="AI288" s="401"/>
      <c r="AJ288" s="401"/>
      <c r="AK288" s="401"/>
      <c r="AL288" s="401"/>
      <c r="AM288" s="401"/>
      <c r="AN288" s="401"/>
      <c r="AO288" s="401"/>
    </row>
    <row r="289" spans="1:41" x14ac:dyDescent="0.2">
      <c r="A289" s="429"/>
      <c r="B289" s="1839"/>
      <c r="C289" s="1839"/>
      <c r="D289" s="1839"/>
      <c r="E289" s="1839"/>
      <c r="F289" s="1839"/>
      <c r="G289" s="429"/>
      <c r="H289" s="1840"/>
      <c r="I289" s="1840"/>
      <c r="J289" s="1840"/>
      <c r="K289" s="1840"/>
      <c r="L289" s="1840"/>
      <c r="M289" s="1840"/>
      <c r="N289" s="1840"/>
      <c r="O289" s="1840"/>
      <c r="P289" s="401"/>
      <c r="Q289" s="401"/>
      <c r="R289" s="401"/>
      <c r="S289" s="401"/>
      <c r="T289" s="401"/>
      <c r="U289" s="401"/>
      <c r="V289" s="401"/>
      <c r="W289" s="401"/>
      <c r="X289" s="401"/>
      <c r="Y289" s="401"/>
      <c r="Z289" s="401"/>
      <c r="AA289" s="401"/>
      <c r="AB289" s="401"/>
      <c r="AC289" s="401"/>
      <c r="AD289" s="401"/>
      <c r="AE289" s="401"/>
      <c r="AF289" s="401"/>
      <c r="AG289" s="401"/>
      <c r="AH289" s="401"/>
      <c r="AI289" s="401"/>
      <c r="AJ289" s="401"/>
      <c r="AK289" s="401"/>
      <c r="AL289" s="401"/>
      <c r="AM289" s="401"/>
      <c r="AN289" s="401"/>
      <c r="AO289" s="401"/>
    </row>
    <row r="290" spans="1:41" x14ac:dyDescent="0.2">
      <c r="A290" s="429"/>
      <c r="B290" s="1839"/>
      <c r="C290" s="1839"/>
      <c r="D290" s="1839"/>
      <c r="E290" s="1839"/>
      <c r="F290" s="1839"/>
      <c r="G290" s="429"/>
      <c r="H290" s="1840"/>
      <c r="I290" s="1840"/>
      <c r="J290" s="1840"/>
      <c r="K290" s="1840"/>
      <c r="L290" s="1840"/>
      <c r="M290" s="1840"/>
      <c r="N290" s="1840"/>
      <c r="O290" s="1840"/>
      <c r="P290" s="401"/>
      <c r="Q290" s="401"/>
      <c r="R290" s="401"/>
      <c r="S290" s="401"/>
      <c r="T290" s="401"/>
      <c r="U290" s="401"/>
      <c r="V290" s="401"/>
      <c r="W290" s="401"/>
      <c r="X290" s="401"/>
      <c r="Y290" s="401"/>
      <c r="Z290" s="401"/>
      <c r="AA290" s="401"/>
      <c r="AB290" s="401"/>
      <c r="AC290" s="401"/>
      <c r="AD290" s="401"/>
      <c r="AE290" s="401"/>
      <c r="AF290" s="401"/>
      <c r="AG290" s="401"/>
      <c r="AH290" s="401"/>
      <c r="AI290" s="401"/>
      <c r="AJ290" s="401"/>
      <c r="AK290" s="401"/>
      <c r="AL290" s="401"/>
      <c r="AM290" s="401"/>
      <c r="AN290" s="401"/>
      <c r="AO290" s="401"/>
    </row>
    <row r="291" spans="1:41" x14ac:dyDescent="0.2">
      <c r="A291" s="429"/>
      <c r="B291" s="1839"/>
      <c r="C291" s="1839"/>
      <c r="D291" s="1839"/>
      <c r="E291" s="1839"/>
      <c r="F291" s="1839"/>
      <c r="G291" s="429"/>
      <c r="H291" s="1840"/>
      <c r="I291" s="1840"/>
      <c r="J291" s="1840"/>
      <c r="K291" s="1840"/>
      <c r="L291" s="1840"/>
      <c r="M291" s="1840"/>
      <c r="N291" s="1840"/>
      <c r="O291" s="1840"/>
      <c r="P291" s="401"/>
      <c r="Q291" s="401"/>
      <c r="R291" s="401"/>
      <c r="S291" s="401"/>
      <c r="T291" s="401"/>
      <c r="U291" s="401"/>
      <c r="V291" s="401"/>
      <c r="W291" s="401"/>
      <c r="X291" s="401"/>
      <c r="Y291" s="401"/>
      <c r="Z291" s="401"/>
      <c r="AA291" s="401"/>
      <c r="AB291" s="401"/>
      <c r="AC291" s="401"/>
      <c r="AD291" s="401"/>
      <c r="AE291" s="401"/>
      <c r="AF291" s="401"/>
      <c r="AG291" s="401"/>
      <c r="AH291" s="401"/>
      <c r="AI291" s="401"/>
      <c r="AJ291" s="401"/>
      <c r="AK291" s="401"/>
      <c r="AL291" s="401"/>
      <c r="AM291" s="401"/>
      <c r="AN291" s="401"/>
      <c r="AO291" s="401"/>
    </row>
    <row r="292" spans="1:41" x14ac:dyDescent="0.2">
      <c r="A292" s="429"/>
      <c r="B292" s="1839"/>
      <c r="C292" s="1839"/>
      <c r="D292" s="1839"/>
      <c r="E292" s="1839"/>
      <c r="F292" s="1839"/>
      <c r="G292" s="429"/>
      <c r="H292" s="1840"/>
      <c r="I292" s="1840"/>
      <c r="J292" s="1840"/>
      <c r="K292" s="1840"/>
      <c r="L292" s="1840"/>
      <c r="M292" s="1840"/>
      <c r="N292" s="1840"/>
      <c r="O292" s="1840"/>
      <c r="P292" s="401"/>
      <c r="Q292" s="401"/>
      <c r="R292" s="401"/>
      <c r="S292" s="401"/>
      <c r="T292" s="401"/>
      <c r="U292" s="401"/>
      <c r="V292" s="401"/>
      <c r="W292" s="401"/>
      <c r="X292" s="401"/>
      <c r="Y292" s="401"/>
      <c r="Z292" s="401"/>
      <c r="AA292" s="401"/>
      <c r="AB292" s="401"/>
      <c r="AC292" s="401"/>
      <c r="AD292" s="401"/>
      <c r="AE292" s="401"/>
      <c r="AF292" s="401"/>
      <c r="AG292" s="401"/>
      <c r="AH292" s="401"/>
      <c r="AI292" s="401"/>
      <c r="AJ292" s="401"/>
      <c r="AK292" s="401"/>
      <c r="AL292" s="401"/>
      <c r="AM292" s="401"/>
      <c r="AN292" s="401"/>
      <c r="AO292" s="401"/>
    </row>
    <row r="293" spans="1:41" x14ac:dyDescent="0.2">
      <c r="A293" s="429"/>
      <c r="B293" s="1839"/>
      <c r="C293" s="1839"/>
      <c r="D293" s="1839"/>
      <c r="E293" s="1839"/>
      <c r="F293" s="1839"/>
      <c r="G293" s="429"/>
      <c r="H293" s="1840"/>
      <c r="I293" s="1840"/>
      <c r="J293" s="1840"/>
      <c r="K293" s="1840"/>
      <c r="L293" s="1840"/>
      <c r="M293" s="1840"/>
      <c r="N293" s="1840"/>
      <c r="O293" s="1840"/>
      <c r="P293" s="401"/>
      <c r="Q293" s="401"/>
      <c r="R293" s="401"/>
      <c r="S293" s="401"/>
      <c r="T293" s="401"/>
      <c r="U293" s="401"/>
      <c r="V293" s="401"/>
      <c r="W293" s="401"/>
      <c r="X293" s="401"/>
      <c r="Y293" s="401"/>
      <c r="Z293" s="401"/>
      <c r="AA293" s="401"/>
      <c r="AB293" s="401"/>
      <c r="AC293" s="401"/>
      <c r="AD293" s="401"/>
      <c r="AE293" s="401"/>
      <c r="AF293" s="401"/>
      <c r="AG293" s="401"/>
      <c r="AH293" s="401"/>
      <c r="AI293" s="401"/>
      <c r="AJ293" s="401"/>
      <c r="AK293" s="401"/>
      <c r="AL293" s="401"/>
      <c r="AM293" s="401"/>
      <c r="AN293" s="401"/>
      <c r="AO293" s="401"/>
    </row>
    <row r="294" spans="1:41" x14ac:dyDescent="0.2">
      <c r="A294" s="429"/>
      <c r="B294" s="1839"/>
      <c r="C294" s="1839"/>
      <c r="D294" s="1839"/>
      <c r="E294" s="1839"/>
      <c r="F294" s="1839"/>
      <c r="G294" s="429"/>
      <c r="H294" s="1840"/>
      <c r="I294" s="1840"/>
      <c r="J294" s="1840"/>
      <c r="K294" s="1840"/>
      <c r="L294" s="1840"/>
      <c r="M294" s="1840"/>
      <c r="N294" s="1840"/>
      <c r="O294" s="1840"/>
      <c r="P294" s="401"/>
      <c r="Q294" s="401"/>
      <c r="R294" s="401"/>
      <c r="S294" s="401"/>
      <c r="T294" s="401"/>
      <c r="U294" s="401"/>
      <c r="V294" s="401"/>
      <c r="W294" s="401"/>
      <c r="X294" s="401"/>
      <c r="Y294" s="401"/>
      <c r="Z294" s="401"/>
      <c r="AA294" s="401"/>
      <c r="AB294" s="401"/>
      <c r="AC294" s="401"/>
      <c r="AD294" s="401"/>
      <c r="AE294" s="401"/>
      <c r="AF294" s="401"/>
      <c r="AG294" s="401"/>
      <c r="AH294" s="401"/>
      <c r="AI294" s="401"/>
      <c r="AJ294" s="401"/>
      <c r="AK294" s="401"/>
      <c r="AL294" s="401"/>
      <c r="AM294" s="401"/>
      <c r="AN294" s="401"/>
      <c r="AO294" s="401"/>
    </row>
    <row r="295" spans="1:41" x14ac:dyDescent="0.2">
      <c r="A295" s="429"/>
      <c r="B295" s="1839"/>
      <c r="C295" s="1839"/>
      <c r="D295" s="1839"/>
      <c r="E295" s="1839"/>
      <c r="F295" s="1839"/>
      <c r="G295" s="429"/>
      <c r="H295" s="1840"/>
      <c r="I295" s="1840"/>
      <c r="J295" s="1840"/>
      <c r="K295" s="1840"/>
      <c r="L295" s="1840"/>
      <c r="M295" s="1840"/>
      <c r="N295" s="1840"/>
      <c r="O295" s="1840"/>
      <c r="P295" s="401"/>
      <c r="Q295" s="401"/>
      <c r="R295" s="401"/>
      <c r="S295" s="401"/>
      <c r="T295" s="401"/>
      <c r="U295" s="401"/>
      <c r="V295" s="401"/>
      <c r="W295" s="401"/>
      <c r="X295" s="401"/>
      <c r="Y295" s="401"/>
      <c r="Z295" s="401"/>
      <c r="AA295" s="401"/>
      <c r="AB295" s="401"/>
      <c r="AC295" s="401"/>
      <c r="AD295" s="401"/>
      <c r="AE295" s="401"/>
      <c r="AF295" s="401"/>
      <c r="AG295" s="401"/>
      <c r="AH295" s="401"/>
      <c r="AI295" s="401"/>
      <c r="AJ295" s="401"/>
      <c r="AK295" s="401"/>
      <c r="AL295" s="401"/>
      <c r="AM295" s="401"/>
      <c r="AN295" s="401"/>
      <c r="AO295" s="401"/>
    </row>
    <row r="296" spans="1:41" x14ac:dyDescent="0.2">
      <c r="A296" s="429"/>
      <c r="B296" s="1839"/>
      <c r="C296" s="1839"/>
      <c r="D296" s="1839"/>
      <c r="E296" s="1839"/>
      <c r="F296" s="1839"/>
      <c r="G296" s="429"/>
      <c r="H296" s="1840"/>
      <c r="I296" s="1840"/>
      <c r="J296" s="1840"/>
      <c r="K296" s="1840"/>
      <c r="L296" s="1840"/>
      <c r="M296" s="1840"/>
      <c r="N296" s="1840"/>
      <c r="O296" s="1840"/>
      <c r="P296" s="401"/>
      <c r="Q296" s="401"/>
      <c r="R296" s="401"/>
      <c r="S296" s="401"/>
      <c r="T296" s="401"/>
      <c r="U296" s="401"/>
      <c r="V296" s="401"/>
      <c r="W296" s="401"/>
      <c r="X296" s="401"/>
      <c r="Y296" s="401"/>
      <c r="Z296" s="401"/>
      <c r="AA296" s="401"/>
      <c r="AB296" s="401"/>
      <c r="AC296" s="401"/>
      <c r="AD296" s="401"/>
      <c r="AE296" s="401"/>
      <c r="AF296" s="401"/>
      <c r="AG296" s="401"/>
      <c r="AH296" s="401"/>
      <c r="AI296" s="401"/>
      <c r="AJ296" s="401"/>
      <c r="AK296" s="401"/>
      <c r="AL296" s="401"/>
      <c r="AM296" s="401"/>
      <c r="AN296" s="401"/>
      <c r="AO296" s="401"/>
    </row>
    <row r="297" spans="1:41" x14ac:dyDescent="0.2">
      <c r="A297" s="429"/>
      <c r="B297" s="1839"/>
      <c r="C297" s="1839"/>
      <c r="D297" s="1839"/>
      <c r="E297" s="1839"/>
      <c r="F297" s="1839"/>
      <c r="G297" s="429"/>
      <c r="H297" s="1840"/>
      <c r="I297" s="1840"/>
      <c r="J297" s="1840"/>
      <c r="K297" s="1840"/>
      <c r="L297" s="1840"/>
      <c r="M297" s="1840"/>
      <c r="N297" s="1840"/>
      <c r="O297" s="1840"/>
      <c r="P297" s="401"/>
      <c r="Q297" s="401"/>
      <c r="R297" s="401"/>
      <c r="S297" s="401"/>
      <c r="T297" s="401"/>
      <c r="U297" s="401"/>
      <c r="V297" s="401"/>
      <c r="W297" s="401"/>
      <c r="X297" s="401"/>
      <c r="Y297" s="401"/>
      <c r="Z297" s="401"/>
      <c r="AA297" s="401"/>
      <c r="AB297" s="401"/>
      <c r="AC297" s="401"/>
      <c r="AD297" s="401"/>
      <c r="AE297" s="401"/>
      <c r="AF297" s="401"/>
      <c r="AG297" s="401"/>
      <c r="AH297" s="401"/>
      <c r="AI297" s="401"/>
      <c r="AJ297" s="401"/>
      <c r="AK297" s="401"/>
      <c r="AL297" s="401"/>
      <c r="AM297" s="401"/>
      <c r="AN297" s="401"/>
      <c r="AO297" s="401"/>
    </row>
    <row r="298" spans="1:41" x14ac:dyDescent="0.2">
      <c r="A298" s="429"/>
      <c r="B298" s="1840"/>
      <c r="C298" s="1840"/>
      <c r="D298" s="1840"/>
      <c r="E298" s="1840"/>
      <c r="F298" s="1840"/>
      <c r="G298" s="429"/>
      <c r="H298" s="1840"/>
      <c r="I298" s="1840"/>
      <c r="J298" s="1840"/>
      <c r="K298" s="1840"/>
      <c r="L298" s="1840"/>
      <c r="M298" s="1840"/>
      <c r="N298" s="1840"/>
      <c r="O298" s="1840"/>
      <c r="P298" s="401"/>
      <c r="Q298" s="401"/>
      <c r="R298" s="401"/>
      <c r="S298" s="401"/>
      <c r="T298" s="401"/>
      <c r="U298" s="401"/>
      <c r="V298" s="401"/>
      <c r="W298" s="401"/>
      <c r="X298" s="401"/>
      <c r="Y298" s="401"/>
      <c r="Z298" s="401"/>
      <c r="AA298" s="401"/>
      <c r="AB298" s="401"/>
      <c r="AC298" s="401"/>
      <c r="AD298" s="401"/>
      <c r="AE298" s="401"/>
      <c r="AF298" s="401"/>
      <c r="AG298" s="401"/>
      <c r="AH298" s="401"/>
      <c r="AI298" s="401"/>
      <c r="AJ298" s="401"/>
      <c r="AK298" s="401"/>
      <c r="AL298" s="401"/>
      <c r="AM298" s="401"/>
      <c r="AN298" s="401"/>
      <c r="AO298" s="401"/>
    </row>
    <row r="299" spans="1:41" x14ac:dyDescent="0.2">
      <c r="A299" s="429"/>
      <c r="B299" s="1839"/>
      <c r="C299" s="1839"/>
      <c r="D299" s="1839"/>
      <c r="E299" s="1839"/>
      <c r="F299" s="1839"/>
      <c r="G299" s="429"/>
      <c r="H299" s="1840"/>
      <c r="I299" s="1840"/>
      <c r="J299" s="1840"/>
      <c r="K299" s="1840"/>
      <c r="L299" s="1840"/>
      <c r="M299" s="1840"/>
      <c r="N299" s="1840"/>
      <c r="O299" s="1840"/>
      <c r="P299" s="401"/>
      <c r="Q299" s="401"/>
      <c r="R299" s="401"/>
      <c r="S299" s="401"/>
      <c r="T299" s="401"/>
      <c r="U299" s="401"/>
      <c r="V299" s="401"/>
      <c r="W299" s="401"/>
      <c r="X299" s="401"/>
      <c r="Y299" s="401"/>
      <c r="Z299" s="401"/>
      <c r="AA299" s="401"/>
      <c r="AB299" s="401"/>
      <c r="AC299" s="401"/>
      <c r="AD299" s="401"/>
      <c r="AE299" s="401"/>
      <c r="AF299" s="401"/>
      <c r="AG299" s="401"/>
      <c r="AH299" s="401"/>
      <c r="AI299" s="401"/>
      <c r="AJ299" s="401"/>
      <c r="AK299" s="401"/>
      <c r="AL299" s="401"/>
      <c r="AM299" s="401"/>
      <c r="AN299" s="401"/>
      <c r="AO299" s="401"/>
    </row>
    <row r="300" spans="1:41" x14ac:dyDescent="0.2">
      <c r="A300" s="429"/>
      <c r="B300" s="1839"/>
      <c r="C300" s="1839"/>
      <c r="D300" s="1839"/>
      <c r="E300" s="1839"/>
      <c r="F300" s="1839"/>
      <c r="G300" s="429"/>
      <c r="H300" s="1840"/>
      <c r="I300" s="1840"/>
      <c r="J300" s="1840"/>
      <c r="K300" s="1840"/>
      <c r="L300" s="1840"/>
      <c r="M300" s="1840"/>
      <c r="N300" s="1840"/>
      <c r="O300" s="1840"/>
      <c r="P300" s="401"/>
      <c r="Q300" s="401"/>
      <c r="R300" s="401"/>
      <c r="S300" s="401"/>
      <c r="T300" s="401"/>
      <c r="U300" s="401"/>
      <c r="V300" s="401"/>
      <c r="W300" s="401"/>
      <c r="X300" s="401"/>
      <c r="Y300" s="401"/>
      <c r="Z300" s="401"/>
      <c r="AA300" s="401"/>
      <c r="AB300" s="401"/>
      <c r="AC300" s="401"/>
      <c r="AD300" s="401"/>
      <c r="AE300" s="401"/>
      <c r="AF300" s="401"/>
      <c r="AG300" s="401"/>
      <c r="AH300" s="401"/>
      <c r="AI300" s="401"/>
      <c r="AJ300" s="401"/>
      <c r="AK300" s="401"/>
      <c r="AL300" s="401"/>
      <c r="AM300" s="401"/>
      <c r="AN300" s="401"/>
      <c r="AO300" s="401"/>
    </row>
    <row r="301" spans="1:41" x14ac:dyDescent="0.2">
      <c r="A301" s="429"/>
      <c r="B301" s="1839"/>
      <c r="C301" s="1839"/>
      <c r="D301" s="1839"/>
      <c r="E301" s="1839"/>
      <c r="F301" s="1839"/>
      <c r="G301" s="429"/>
      <c r="H301" s="1840"/>
      <c r="I301" s="1840"/>
      <c r="J301" s="1840"/>
      <c r="K301" s="1840"/>
      <c r="L301" s="1840"/>
      <c r="M301" s="1840"/>
      <c r="N301" s="1840"/>
      <c r="O301" s="1840"/>
      <c r="P301" s="401"/>
      <c r="Q301" s="401"/>
      <c r="R301" s="401"/>
      <c r="S301" s="401"/>
      <c r="T301" s="401"/>
      <c r="U301" s="401"/>
      <c r="V301" s="401"/>
      <c r="W301" s="401"/>
      <c r="X301" s="401"/>
      <c r="Y301" s="401"/>
      <c r="Z301" s="401"/>
      <c r="AA301" s="401"/>
      <c r="AB301" s="401"/>
      <c r="AC301" s="401"/>
      <c r="AD301" s="401"/>
      <c r="AE301" s="401"/>
      <c r="AF301" s="401"/>
      <c r="AG301" s="401"/>
      <c r="AH301" s="401"/>
      <c r="AI301" s="401"/>
      <c r="AJ301" s="401"/>
      <c r="AK301" s="401"/>
      <c r="AL301" s="401"/>
      <c r="AM301" s="401"/>
      <c r="AN301" s="401"/>
      <c r="AO301" s="401"/>
    </row>
    <row r="302" spans="1:41" x14ac:dyDescent="0.2">
      <c r="A302" s="429"/>
      <c r="B302" s="1839"/>
      <c r="C302" s="1839"/>
      <c r="D302" s="1839"/>
      <c r="E302" s="1839"/>
      <c r="F302" s="1839"/>
      <c r="G302" s="429"/>
      <c r="H302" s="1840"/>
      <c r="I302" s="1840"/>
      <c r="J302" s="1840"/>
      <c r="K302" s="1840"/>
      <c r="L302" s="1840"/>
      <c r="M302" s="1840"/>
      <c r="N302" s="1840"/>
      <c r="O302" s="1840"/>
      <c r="P302" s="401"/>
      <c r="Q302" s="401"/>
      <c r="R302" s="401"/>
      <c r="S302" s="401"/>
      <c r="T302" s="401"/>
      <c r="U302" s="401"/>
      <c r="V302" s="401"/>
      <c r="W302" s="401"/>
      <c r="X302" s="401"/>
      <c r="Y302" s="401"/>
      <c r="Z302" s="401"/>
      <c r="AA302" s="401"/>
      <c r="AB302" s="401"/>
      <c r="AC302" s="401"/>
      <c r="AD302" s="401"/>
      <c r="AE302" s="401"/>
      <c r="AF302" s="401"/>
      <c r="AG302" s="401"/>
      <c r="AH302" s="401"/>
      <c r="AI302" s="401"/>
      <c r="AJ302" s="401"/>
      <c r="AK302" s="401"/>
      <c r="AL302" s="401"/>
      <c r="AM302" s="401"/>
      <c r="AN302" s="401"/>
      <c r="AO302" s="401"/>
    </row>
    <row r="303" spans="1:41" x14ac:dyDescent="0.2">
      <c r="A303" s="429"/>
      <c r="B303" s="1839"/>
      <c r="C303" s="1839"/>
      <c r="D303" s="1839"/>
      <c r="E303" s="1839"/>
      <c r="F303" s="1839"/>
      <c r="G303" s="429"/>
      <c r="H303" s="1840"/>
      <c r="I303" s="1840"/>
      <c r="J303" s="1840"/>
      <c r="K303" s="1840"/>
      <c r="L303" s="1840"/>
      <c r="M303" s="1840"/>
      <c r="N303" s="1840"/>
      <c r="O303" s="1840"/>
      <c r="P303" s="401"/>
      <c r="Q303" s="401"/>
      <c r="R303" s="401"/>
      <c r="S303" s="401"/>
      <c r="T303" s="401"/>
      <c r="U303" s="401"/>
      <c r="V303" s="401"/>
      <c r="W303" s="401"/>
      <c r="X303" s="401"/>
      <c r="Y303" s="401"/>
      <c r="Z303" s="401"/>
      <c r="AA303" s="401"/>
      <c r="AB303" s="401"/>
      <c r="AC303" s="401"/>
      <c r="AD303" s="401"/>
      <c r="AE303" s="401"/>
      <c r="AF303" s="401"/>
      <c r="AG303" s="401"/>
      <c r="AH303" s="401"/>
      <c r="AI303" s="401"/>
      <c r="AJ303" s="401"/>
      <c r="AK303" s="401"/>
      <c r="AL303" s="401"/>
      <c r="AM303" s="401"/>
      <c r="AN303" s="401"/>
      <c r="AO303" s="401"/>
    </row>
    <row r="304" spans="1:41" x14ac:dyDescent="0.2">
      <c r="A304" s="429"/>
      <c r="B304" s="1839"/>
      <c r="C304" s="1839"/>
      <c r="D304" s="1839"/>
      <c r="E304" s="1839"/>
      <c r="F304" s="1839"/>
      <c r="G304" s="429"/>
      <c r="H304" s="1840"/>
      <c r="I304" s="1840"/>
      <c r="J304" s="1840"/>
      <c r="K304" s="1840"/>
      <c r="L304" s="1840"/>
      <c r="M304" s="1840"/>
      <c r="N304" s="1840"/>
      <c r="O304" s="1840"/>
      <c r="P304" s="401"/>
      <c r="Q304" s="401"/>
      <c r="R304" s="401"/>
      <c r="S304" s="401"/>
      <c r="T304" s="401"/>
      <c r="U304" s="401"/>
      <c r="V304" s="401"/>
      <c r="W304" s="401"/>
      <c r="X304" s="401"/>
      <c r="Y304" s="401"/>
      <c r="Z304" s="401"/>
      <c r="AA304" s="401"/>
      <c r="AB304" s="401"/>
      <c r="AC304" s="401"/>
      <c r="AD304" s="401"/>
      <c r="AE304" s="401"/>
      <c r="AF304" s="401"/>
      <c r="AG304" s="401"/>
      <c r="AH304" s="401"/>
      <c r="AI304" s="401"/>
      <c r="AJ304" s="401"/>
      <c r="AK304" s="401"/>
      <c r="AL304" s="401"/>
      <c r="AM304" s="401"/>
      <c r="AN304" s="401"/>
      <c r="AO304" s="401"/>
    </row>
    <row r="305" spans="1:41" x14ac:dyDescent="0.2">
      <c r="A305" s="429"/>
      <c r="B305" s="1839"/>
      <c r="C305" s="1839"/>
      <c r="D305" s="1839"/>
      <c r="E305" s="1839"/>
      <c r="F305" s="1839"/>
      <c r="G305" s="429"/>
      <c r="H305" s="1840"/>
      <c r="I305" s="1840"/>
      <c r="J305" s="1840"/>
      <c r="K305" s="1840"/>
      <c r="L305" s="1840"/>
      <c r="M305" s="1840"/>
      <c r="N305" s="1840"/>
      <c r="O305" s="1840"/>
      <c r="P305" s="401"/>
      <c r="Q305" s="401"/>
      <c r="R305" s="401"/>
      <c r="S305" s="401"/>
      <c r="T305" s="401"/>
      <c r="U305" s="401"/>
      <c r="V305" s="401"/>
      <c r="W305" s="401"/>
      <c r="X305" s="401"/>
      <c r="Y305" s="401"/>
      <c r="Z305" s="401"/>
      <c r="AA305" s="401"/>
      <c r="AB305" s="401"/>
      <c r="AC305" s="401"/>
      <c r="AD305" s="401"/>
      <c r="AE305" s="401"/>
      <c r="AF305" s="401"/>
      <c r="AG305" s="401"/>
      <c r="AH305" s="401"/>
      <c r="AI305" s="401"/>
      <c r="AJ305" s="401"/>
      <c r="AK305" s="401"/>
      <c r="AL305" s="401"/>
      <c r="AM305" s="401"/>
      <c r="AN305" s="401"/>
      <c r="AO305" s="401"/>
    </row>
    <row r="306" spans="1:41" x14ac:dyDescent="0.2">
      <c r="A306" s="429"/>
      <c r="B306" s="1839"/>
      <c r="C306" s="1839"/>
      <c r="D306" s="1839"/>
      <c r="E306" s="1839"/>
      <c r="F306" s="1839"/>
      <c r="G306" s="429"/>
      <c r="H306" s="1840"/>
      <c r="I306" s="1840"/>
      <c r="J306" s="1840"/>
      <c r="K306" s="1840"/>
      <c r="L306" s="1840"/>
      <c r="M306" s="1840"/>
      <c r="N306" s="1840"/>
      <c r="O306" s="1840"/>
      <c r="P306" s="401"/>
      <c r="Q306" s="401"/>
      <c r="R306" s="401"/>
      <c r="S306" s="401"/>
      <c r="T306" s="401"/>
      <c r="U306" s="401"/>
      <c r="V306" s="401"/>
      <c r="W306" s="401"/>
      <c r="X306" s="401"/>
      <c r="Y306" s="401"/>
      <c r="Z306" s="401"/>
      <c r="AA306" s="401"/>
      <c r="AB306" s="401"/>
      <c r="AC306" s="401"/>
      <c r="AD306" s="401"/>
      <c r="AE306" s="401"/>
      <c r="AF306" s="401"/>
      <c r="AG306" s="401"/>
      <c r="AH306" s="401"/>
      <c r="AI306" s="401"/>
      <c r="AJ306" s="401"/>
      <c r="AK306" s="401"/>
      <c r="AL306" s="401"/>
      <c r="AM306" s="401"/>
      <c r="AN306" s="401"/>
      <c r="AO306" s="401"/>
    </row>
    <row r="307" spans="1:41" x14ac:dyDescent="0.2">
      <c r="A307" s="429"/>
      <c r="B307" s="1839"/>
      <c r="C307" s="1839"/>
      <c r="D307" s="1839"/>
      <c r="E307" s="1839"/>
      <c r="F307" s="1839"/>
      <c r="G307" s="429"/>
      <c r="H307" s="1840"/>
      <c r="I307" s="1840"/>
      <c r="J307" s="1840"/>
      <c r="K307" s="1840"/>
      <c r="L307" s="1840"/>
      <c r="M307" s="1840"/>
      <c r="N307" s="1840"/>
      <c r="O307" s="1840"/>
      <c r="P307" s="401"/>
      <c r="Q307" s="401"/>
      <c r="R307" s="401"/>
      <c r="S307" s="401"/>
      <c r="T307" s="401"/>
      <c r="U307" s="401"/>
      <c r="V307" s="401"/>
      <c r="W307" s="401"/>
      <c r="X307" s="401"/>
      <c r="Y307" s="401"/>
      <c r="Z307" s="401"/>
      <c r="AA307" s="401"/>
      <c r="AB307" s="401"/>
      <c r="AC307" s="401"/>
      <c r="AD307" s="401"/>
      <c r="AE307" s="401"/>
      <c r="AF307" s="401"/>
      <c r="AG307" s="401"/>
      <c r="AH307" s="401"/>
      <c r="AI307" s="401"/>
      <c r="AJ307" s="401"/>
      <c r="AK307" s="401"/>
      <c r="AL307" s="401"/>
      <c r="AM307" s="401"/>
      <c r="AN307" s="401"/>
      <c r="AO307" s="401"/>
    </row>
    <row r="308" spans="1:41" x14ac:dyDescent="0.2">
      <c r="A308" s="429"/>
      <c r="B308" s="1840"/>
      <c r="C308" s="1840"/>
      <c r="D308" s="1840"/>
      <c r="E308" s="1840"/>
      <c r="F308" s="1840"/>
      <c r="G308" s="429"/>
      <c r="H308" s="1840"/>
      <c r="I308" s="1840"/>
      <c r="J308" s="1840"/>
      <c r="K308" s="1840"/>
      <c r="L308" s="1840"/>
      <c r="M308" s="1840"/>
      <c r="N308" s="1840"/>
      <c r="O308" s="1840"/>
      <c r="P308" s="401"/>
      <c r="Q308" s="401"/>
      <c r="R308" s="401"/>
      <c r="S308" s="401"/>
      <c r="T308" s="401"/>
      <c r="U308" s="401"/>
      <c r="V308" s="401"/>
      <c r="W308" s="401"/>
      <c r="X308" s="401"/>
      <c r="Y308" s="401"/>
      <c r="Z308" s="401"/>
      <c r="AA308" s="401"/>
      <c r="AB308" s="401"/>
      <c r="AC308" s="401"/>
      <c r="AD308" s="401"/>
      <c r="AE308" s="401"/>
      <c r="AF308" s="401"/>
      <c r="AG308" s="401"/>
      <c r="AH308" s="401"/>
      <c r="AI308" s="401"/>
      <c r="AJ308" s="401"/>
      <c r="AK308" s="401"/>
      <c r="AL308" s="401"/>
      <c r="AM308" s="401"/>
      <c r="AN308" s="401"/>
      <c r="AO308" s="401"/>
    </row>
    <row r="309" spans="1:41" x14ac:dyDescent="0.2">
      <c r="A309" s="429"/>
      <c r="B309" s="1839"/>
      <c r="C309" s="1839"/>
      <c r="D309" s="1839"/>
      <c r="E309" s="1839"/>
      <c r="F309" s="1839"/>
      <c r="G309" s="429"/>
      <c r="H309" s="1840"/>
      <c r="I309" s="1840"/>
      <c r="J309" s="1840"/>
      <c r="K309" s="1840"/>
      <c r="L309" s="1840"/>
      <c r="M309" s="1840"/>
      <c r="N309" s="1840"/>
      <c r="O309" s="1840"/>
      <c r="P309" s="401"/>
      <c r="Q309" s="401"/>
      <c r="R309" s="401"/>
      <c r="S309" s="401"/>
      <c r="T309" s="401"/>
      <c r="U309" s="401"/>
      <c r="V309" s="401"/>
      <c r="W309" s="401"/>
      <c r="X309" s="401"/>
      <c r="Y309" s="401"/>
      <c r="Z309" s="401"/>
      <c r="AA309" s="401"/>
      <c r="AB309" s="401"/>
      <c r="AC309" s="401"/>
      <c r="AD309" s="401"/>
      <c r="AE309" s="401"/>
      <c r="AF309" s="401"/>
      <c r="AG309" s="401"/>
      <c r="AH309" s="401"/>
      <c r="AI309" s="401"/>
      <c r="AJ309" s="401"/>
      <c r="AK309" s="401"/>
      <c r="AL309" s="401"/>
      <c r="AM309" s="401"/>
      <c r="AN309" s="401"/>
      <c r="AO309" s="401"/>
    </row>
    <row r="310" spans="1:41" x14ac:dyDescent="0.2">
      <c r="A310" s="429"/>
      <c r="B310" s="1839"/>
      <c r="C310" s="1839"/>
      <c r="D310" s="1839"/>
      <c r="E310" s="1839"/>
      <c r="F310" s="1839"/>
      <c r="G310" s="429"/>
      <c r="H310" s="1840"/>
      <c r="I310" s="1840"/>
      <c r="J310" s="1840"/>
      <c r="K310" s="1840"/>
      <c r="L310" s="1840"/>
      <c r="M310" s="1840"/>
      <c r="N310" s="1840"/>
      <c r="O310" s="1840"/>
      <c r="P310" s="401"/>
      <c r="Q310" s="401"/>
      <c r="R310" s="401"/>
      <c r="S310" s="401"/>
      <c r="T310" s="401"/>
      <c r="U310" s="401"/>
      <c r="V310" s="401"/>
      <c r="W310" s="401"/>
      <c r="X310" s="401"/>
      <c r="Y310" s="401"/>
      <c r="Z310" s="401"/>
      <c r="AA310" s="401"/>
      <c r="AB310" s="401"/>
      <c r="AC310" s="401"/>
      <c r="AD310" s="401"/>
      <c r="AE310" s="401"/>
      <c r="AF310" s="401"/>
      <c r="AG310" s="401"/>
      <c r="AH310" s="401"/>
      <c r="AI310" s="401"/>
      <c r="AJ310" s="401"/>
      <c r="AK310" s="401"/>
      <c r="AL310" s="401"/>
      <c r="AM310" s="401"/>
      <c r="AN310" s="401"/>
      <c r="AO310" s="401"/>
    </row>
    <row r="311" spans="1:41" x14ac:dyDescent="0.2">
      <c r="A311" s="429"/>
      <c r="B311" s="1839"/>
      <c r="C311" s="1839"/>
      <c r="D311" s="1839"/>
      <c r="E311" s="1839"/>
      <c r="F311" s="1839"/>
      <c r="G311" s="429"/>
      <c r="H311" s="1840"/>
      <c r="I311" s="1840"/>
      <c r="J311" s="1840"/>
      <c r="K311" s="1840"/>
      <c r="L311" s="1840"/>
      <c r="M311" s="1840"/>
      <c r="N311" s="1840"/>
      <c r="O311" s="1840"/>
      <c r="P311" s="401"/>
      <c r="Q311" s="401"/>
      <c r="R311" s="401"/>
      <c r="S311" s="401"/>
      <c r="T311" s="401"/>
      <c r="U311" s="401"/>
      <c r="V311" s="401"/>
      <c r="W311" s="401"/>
      <c r="X311" s="401"/>
      <c r="Y311" s="401"/>
      <c r="Z311" s="401"/>
      <c r="AA311" s="401"/>
      <c r="AB311" s="401"/>
      <c r="AC311" s="401"/>
      <c r="AD311" s="401"/>
      <c r="AE311" s="401"/>
      <c r="AF311" s="401"/>
      <c r="AG311" s="401"/>
      <c r="AH311" s="401"/>
      <c r="AI311" s="401"/>
      <c r="AJ311" s="401"/>
      <c r="AK311" s="401"/>
      <c r="AL311" s="401"/>
      <c r="AM311" s="401"/>
      <c r="AN311" s="401"/>
      <c r="AO311" s="401"/>
    </row>
    <row r="312" spans="1:41" x14ac:dyDescent="0.2">
      <c r="A312" s="429"/>
      <c r="B312" s="1839"/>
      <c r="C312" s="1839"/>
      <c r="D312" s="1839"/>
      <c r="E312" s="1839"/>
      <c r="F312" s="1839"/>
      <c r="G312" s="429"/>
      <c r="H312" s="1840"/>
      <c r="I312" s="1840"/>
      <c r="J312" s="1840"/>
      <c r="K312" s="1840"/>
      <c r="L312" s="1840"/>
      <c r="M312" s="1840"/>
      <c r="N312" s="1840"/>
      <c r="O312" s="1840"/>
      <c r="P312" s="401"/>
      <c r="Q312" s="401"/>
      <c r="R312" s="401"/>
      <c r="S312" s="401"/>
      <c r="T312" s="401"/>
      <c r="U312" s="401"/>
      <c r="V312" s="401"/>
      <c r="W312" s="401"/>
      <c r="X312" s="401"/>
      <c r="Y312" s="401"/>
      <c r="Z312" s="401"/>
      <c r="AA312" s="401"/>
      <c r="AB312" s="401"/>
      <c r="AC312" s="401"/>
      <c r="AD312" s="401"/>
      <c r="AE312" s="401"/>
      <c r="AF312" s="401"/>
      <c r="AG312" s="401"/>
      <c r="AH312" s="401"/>
      <c r="AI312" s="401"/>
      <c r="AJ312" s="401"/>
      <c r="AK312" s="401"/>
      <c r="AL312" s="401"/>
      <c r="AM312" s="401"/>
      <c r="AN312" s="401"/>
      <c r="AO312" s="401"/>
    </row>
    <row r="313" spans="1:41" x14ac:dyDescent="0.2">
      <c r="A313" s="429"/>
      <c r="B313" s="1839"/>
      <c r="C313" s="1839"/>
      <c r="D313" s="1839"/>
      <c r="E313" s="1839"/>
      <c r="F313" s="1839"/>
      <c r="G313" s="429"/>
      <c r="H313" s="1840"/>
      <c r="I313" s="1840"/>
      <c r="J313" s="1840"/>
      <c r="K313" s="1840"/>
      <c r="L313" s="1840"/>
      <c r="M313" s="1840"/>
      <c r="N313" s="1840"/>
      <c r="O313" s="1840"/>
      <c r="P313" s="401"/>
      <c r="Q313" s="401"/>
      <c r="R313" s="401"/>
      <c r="S313" s="401"/>
      <c r="T313" s="401"/>
      <c r="U313" s="401"/>
      <c r="V313" s="401"/>
      <c r="W313" s="401"/>
      <c r="X313" s="401"/>
      <c r="Y313" s="401"/>
      <c r="Z313" s="401"/>
      <c r="AA313" s="401"/>
      <c r="AB313" s="401"/>
      <c r="AC313" s="401"/>
      <c r="AD313" s="401"/>
      <c r="AE313" s="401"/>
      <c r="AF313" s="401"/>
      <c r="AG313" s="401"/>
      <c r="AH313" s="401"/>
      <c r="AI313" s="401"/>
      <c r="AJ313" s="401"/>
      <c r="AK313" s="401"/>
      <c r="AL313" s="401"/>
      <c r="AM313" s="401"/>
      <c r="AN313" s="401"/>
      <c r="AO313" s="401"/>
    </row>
    <row r="314" spans="1:41" x14ac:dyDescent="0.2">
      <c r="A314" s="429"/>
      <c r="B314" s="1839"/>
      <c r="C314" s="1839"/>
      <c r="D314" s="1839"/>
      <c r="E314" s="1839"/>
      <c r="F314" s="1839"/>
      <c r="G314" s="429"/>
      <c r="H314" s="1840"/>
      <c r="I314" s="1840"/>
      <c r="J314" s="1840"/>
      <c r="K314" s="1840"/>
      <c r="L314" s="1840"/>
      <c r="M314" s="1840"/>
      <c r="N314" s="1840"/>
      <c r="O314" s="1840"/>
      <c r="P314" s="401"/>
      <c r="Q314" s="401"/>
      <c r="R314" s="401"/>
      <c r="S314" s="401"/>
      <c r="T314" s="401"/>
      <c r="U314" s="401"/>
      <c r="V314" s="401"/>
      <c r="W314" s="401"/>
      <c r="X314" s="401"/>
      <c r="Y314" s="401"/>
      <c r="Z314" s="401"/>
      <c r="AA314" s="401"/>
      <c r="AB314" s="401"/>
      <c r="AC314" s="401"/>
      <c r="AD314" s="401"/>
      <c r="AE314" s="401"/>
      <c r="AF314" s="401"/>
      <c r="AG314" s="401"/>
      <c r="AH314" s="401"/>
      <c r="AI314" s="401"/>
      <c r="AJ314" s="401"/>
      <c r="AK314" s="401"/>
      <c r="AL314" s="401"/>
      <c r="AM314" s="401"/>
      <c r="AN314" s="401"/>
      <c r="AO314" s="401"/>
    </row>
    <row r="315" spans="1:41" x14ac:dyDescent="0.2">
      <c r="A315" s="429"/>
      <c r="B315" s="1839"/>
      <c r="C315" s="1839"/>
      <c r="D315" s="1839"/>
      <c r="E315" s="1839"/>
      <c r="F315" s="1839"/>
      <c r="G315" s="429"/>
      <c r="H315" s="1841"/>
      <c r="I315" s="1841"/>
      <c r="J315" s="1841"/>
      <c r="K315" s="1841"/>
      <c r="L315" s="1841"/>
      <c r="M315" s="1841"/>
      <c r="N315" s="1841"/>
      <c r="O315" s="1841"/>
      <c r="P315" s="401"/>
      <c r="Q315" s="401"/>
      <c r="R315" s="401"/>
      <c r="S315" s="401"/>
      <c r="T315" s="401"/>
      <c r="U315" s="401"/>
      <c r="V315" s="401"/>
      <c r="W315" s="401"/>
      <c r="X315" s="401"/>
      <c r="Y315" s="401"/>
      <c r="Z315" s="401"/>
      <c r="AA315" s="401"/>
      <c r="AB315" s="401"/>
      <c r="AC315" s="401"/>
      <c r="AD315" s="401"/>
      <c r="AE315" s="401"/>
      <c r="AF315" s="401"/>
      <c r="AG315" s="401"/>
      <c r="AH315" s="401"/>
      <c r="AI315" s="401"/>
      <c r="AJ315" s="401"/>
      <c r="AK315" s="401"/>
      <c r="AL315" s="401"/>
      <c r="AM315" s="401"/>
      <c r="AN315" s="401"/>
      <c r="AO315" s="401"/>
    </row>
    <row r="316" spans="1:41" x14ac:dyDescent="0.2">
      <c r="A316" s="1842"/>
      <c r="B316" s="1842"/>
      <c r="C316" s="1842"/>
      <c r="D316" s="1842"/>
      <c r="E316" s="1842"/>
      <c r="F316" s="1842"/>
      <c r="G316" s="1842"/>
      <c r="H316" s="1842"/>
      <c r="I316" s="1842"/>
      <c r="J316" s="1842"/>
      <c r="K316" s="1842"/>
      <c r="L316" s="1842"/>
      <c r="M316" s="1842"/>
      <c r="N316" s="1842"/>
      <c r="O316" s="1842"/>
      <c r="P316" s="401"/>
      <c r="Q316" s="401"/>
      <c r="R316" s="401"/>
      <c r="S316" s="401"/>
      <c r="T316" s="401"/>
      <c r="U316" s="401"/>
      <c r="V316" s="401"/>
      <c r="W316" s="401"/>
      <c r="X316" s="401"/>
      <c r="Y316" s="401"/>
      <c r="Z316" s="401"/>
      <c r="AA316" s="401"/>
      <c r="AB316" s="401"/>
      <c r="AC316" s="401"/>
      <c r="AD316" s="401"/>
      <c r="AE316" s="401"/>
      <c r="AF316" s="401"/>
      <c r="AG316" s="401"/>
      <c r="AH316" s="401"/>
      <c r="AI316" s="401"/>
      <c r="AJ316" s="401"/>
      <c r="AK316" s="401"/>
      <c r="AL316" s="401"/>
      <c r="AM316" s="401"/>
      <c r="AN316" s="401"/>
      <c r="AO316" s="401"/>
    </row>
    <row r="317" spans="1:41" x14ac:dyDescent="0.2">
      <c r="A317" s="429"/>
      <c r="B317" s="1840"/>
      <c r="C317" s="1840"/>
      <c r="D317" s="1840"/>
      <c r="E317" s="1840"/>
      <c r="F317" s="1840"/>
      <c r="G317" s="429"/>
      <c r="H317" s="1840"/>
      <c r="I317" s="1840"/>
      <c r="J317" s="1840"/>
      <c r="K317" s="1840"/>
      <c r="L317" s="1840"/>
      <c r="M317" s="1840"/>
      <c r="N317" s="1840"/>
      <c r="O317" s="1840"/>
      <c r="P317" s="401"/>
      <c r="Q317" s="401"/>
      <c r="R317" s="401"/>
      <c r="S317" s="401"/>
      <c r="T317" s="401"/>
      <c r="U317" s="401"/>
      <c r="V317" s="401"/>
      <c r="W317" s="401"/>
      <c r="X317" s="401"/>
      <c r="Y317" s="401"/>
      <c r="Z317" s="401"/>
      <c r="AA317" s="401"/>
      <c r="AB317" s="401"/>
      <c r="AC317" s="401"/>
      <c r="AD317" s="401"/>
      <c r="AE317" s="401"/>
      <c r="AF317" s="401"/>
      <c r="AG317" s="401"/>
      <c r="AH317" s="401"/>
      <c r="AI317" s="401"/>
      <c r="AJ317" s="401"/>
      <c r="AK317" s="401"/>
      <c r="AL317" s="401"/>
      <c r="AM317" s="401"/>
      <c r="AN317" s="401"/>
      <c r="AO317" s="401"/>
    </row>
    <row r="318" spans="1:41" x14ac:dyDescent="0.2">
      <c r="A318" s="429"/>
      <c r="B318" s="1840"/>
      <c r="C318" s="1840"/>
      <c r="D318" s="1840"/>
      <c r="E318" s="1840"/>
      <c r="F318" s="1840"/>
      <c r="G318" s="429"/>
      <c r="H318" s="1840"/>
      <c r="I318" s="1840"/>
      <c r="J318" s="1840"/>
      <c r="K318" s="1840"/>
      <c r="L318" s="1840"/>
      <c r="M318" s="1840"/>
      <c r="N318" s="1840"/>
      <c r="O318" s="1840"/>
      <c r="P318" s="401"/>
      <c r="Q318" s="401"/>
      <c r="R318" s="401"/>
      <c r="S318" s="401"/>
      <c r="T318" s="401"/>
      <c r="U318" s="401"/>
      <c r="V318" s="401"/>
      <c r="W318" s="401"/>
      <c r="X318" s="401"/>
      <c r="Y318" s="401"/>
      <c r="Z318" s="401"/>
      <c r="AA318" s="401"/>
      <c r="AB318" s="401"/>
      <c r="AC318" s="401"/>
      <c r="AD318" s="401"/>
      <c r="AE318" s="401"/>
      <c r="AF318" s="401"/>
      <c r="AG318" s="401"/>
      <c r="AH318" s="401"/>
      <c r="AI318" s="401"/>
      <c r="AJ318" s="401"/>
      <c r="AK318" s="401"/>
      <c r="AL318" s="401"/>
      <c r="AM318" s="401"/>
      <c r="AN318" s="401"/>
      <c r="AO318" s="401"/>
    </row>
    <row r="319" spans="1:41" x14ac:dyDescent="0.2">
      <c r="A319" s="429"/>
      <c r="B319" s="1840"/>
      <c r="C319" s="1840"/>
      <c r="D319" s="1840"/>
      <c r="E319" s="1840"/>
      <c r="F319" s="1840"/>
      <c r="G319" s="429"/>
      <c r="H319" s="1840"/>
      <c r="I319" s="1840"/>
      <c r="J319" s="1840"/>
      <c r="K319" s="1840"/>
      <c r="L319" s="1840"/>
      <c r="M319" s="1840"/>
      <c r="N319" s="1840"/>
      <c r="O319" s="1840"/>
      <c r="P319" s="401"/>
      <c r="Q319" s="401"/>
      <c r="R319" s="401"/>
      <c r="S319" s="401"/>
      <c r="T319" s="401"/>
      <c r="U319" s="401"/>
      <c r="V319" s="401"/>
      <c r="W319" s="401"/>
      <c r="X319" s="401"/>
      <c r="Y319" s="401"/>
      <c r="Z319" s="401"/>
      <c r="AA319" s="401"/>
      <c r="AB319" s="401"/>
      <c r="AC319" s="401"/>
      <c r="AD319" s="401"/>
      <c r="AE319" s="401"/>
      <c r="AF319" s="401"/>
      <c r="AG319" s="401"/>
      <c r="AH319" s="401"/>
      <c r="AI319" s="401"/>
      <c r="AJ319" s="401"/>
      <c r="AK319" s="401"/>
      <c r="AL319" s="401"/>
      <c r="AM319" s="401"/>
      <c r="AN319" s="401"/>
      <c r="AO319" s="401"/>
    </row>
    <row r="320" spans="1:41" x14ac:dyDescent="0.2">
      <c r="A320" s="429"/>
      <c r="B320" s="1840"/>
      <c r="C320" s="1840"/>
      <c r="D320" s="1840"/>
      <c r="E320" s="1840"/>
      <c r="F320" s="1840"/>
      <c r="G320" s="429"/>
      <c r="H320" s="1840"/>
      <c r="I320" s="1840"/>
      <c r="J320" s="1840"/>
      <c r="K320" s="1840"/>
      <c r="L320" s="1840"/>
      <c r="M320" s="1840"/>
      <c r="N320" s="1840"/>
      <c r="O320" s="1840"/>
      <c r="P320" s="401"/>
      <c r="Q320" s="401"/>
      <c r="R320" s="401"/>
      <c r="S320" s="401"/>
      <c r="T320" s="401"/>
      <c r="U320" s="401"/>
      <c r="V320" s="401"/>
      <c r="W320" s="401"/>
      <c r="X320" s="401"/>
      <c r="Y320" s="401"/>
      <c r="Z320" s="401"/>
      <c r="AA320" s="401"/>
      <c r="AB320" s="401"/>
      <c r="AC320" s="401"/>
      <c r="AD320" s="401"/>
      <c r="AE320" s="401"/>
      <c r="AF320" s="401"/>
      <c r="AG320" s="401"/>
      <c r="AH320" s="401"/>
      <c r="AI320" s="401"/>
      <c r="AJ320" s="401"/>
      <c r="AK320" s="401"/>
      <c r="AL320" s="401"/>
      <c r="AM320" s="401"/>
      <c r="AN320" s="401"/>
      <c r="AO320" s="401"/>
    </row>
    <row r="321" spans="1:41" x14ac:dyDescent="0.2">
      <c r="A321" s="429"/>
      <c r="B321" s="1840"/>
      <c r="C321" s="1840"/>
      <c r="D321" s="1840"/>
      <c r="E321" s="1840"/>
      <c r="F321" s="1840"/>
      <c r="G321" s="429"/>
      <c r="H321" s="1840"/>
      <c r="I321" s="1840"/>
      <c r="J321" s="1840"/>
      <c r="K321" s="1840"/>
      <c r="L321" s="1840"/>
      <c r="M321" s="1840"/>
      <c r="N321" s="1840"/>
      <c r="O321" s="1840"/>
      <c r="P321" s="401"/>
      <c r="Q321" s="401"/>
      <c r="R321" s="401"/>
      <c r="S321" s="401"/>
      <c r="T321" s="401"/>
      <c r="U321" s="401"/>
      <c r="V321" s="401"/>
      <c r="W321" s="401"/>
      <c r="X321" s="401"/>
      <c r="Y321" s="401"/>
      <c r="Z321" s="401"/>
      <c r="AA321" s="401"/>
      <c r="AB321" s="401"/>
      <c r="AC321" s="401"/>
      <c r="AD321" s="401"/>
      <c r="AE321" s="401"/>
      <c r="AF321" s="401"/>
      <c r="AG321" s="401"/>
      <c r="AH321" s="401"/>
      <c r="AI321" s="401"/>
      <c r="AJ321" s="401"/>
      <c r="AK321" s="401"/>
      <c r="AL321" s="401"/>
      <c r="AM321" s="401"/>
      <c r="AN321" s="401"/>
      <c r="AO321" s="401"/>
    </row>
    <row r="322" spans="1:41" x14ac:dyDescent="0.2">
      <c r="A322" s="429"/>
      <c r="B322" s="1840"/>
      <c r="C322" s="1840"/>
      <c r="D322" s="1840"/>
      <c r="E322" s="1840"/>
      <c r="F322" s="1840"/>
      <c r="G322" s="429"/>
      <c r="H322" s="1840"/>
      <c r="I322" s="1840"/>
      <c r="J322" s="1840"/>
      <c r="K322" s="1840"/>
      <c r="L322" s="1840"/>
      <c r="M322" s="1840"/>
      <c r="N322" s="1840"/>
      <c r="O322" s="1840"/>
      <c r="P322" s="401"/>
      <c r="Q322" s="401"/>
      <c r="R322" s="401"/>
      <c r="S322" s="401"/>
      <c r="T322" s="401"/>
      <c r="U322" s="401"/>
      <c r="V322" s="401"/>
      <c r="W322" s="401"/>
      <c r="X322" s="401"/>
      <c r="Y322" s="401"/>
      <c r="Z322" s="401"/>
      <c r="AA322" s="401"/>
      <c r="AB322" s="401"/>
      <c r="AC322" s="401"/>
      <c r="AD322" s="401"/>
      <c r="AE322" s="401"/>
      <c r="AF322" s="401"/>
      <c r="AG322" s="401"/>
      <c r="AH322" s="401"/>
      <c r="AI322" s="401"/>
      <c r="AJ322" s="401"/>
      <c r="AK322" s="401"/>
      <c r="AL322" s="401"/>
      <c r="AM322" s="401"/>
      <c r="AN322" s="401"/>
      <c r="AO322" s="401"/>
    </row>
    <row r="323" spans="1:41" x14ac:dyDescent="0.2">
      <c r="A323" s="429"/>
      <c r="B323" s="1840"/>
      <c r="C323" s="1840"/>
      <c r="D323" s="1840"/>
      <c r="E323" s="1840"/>
      <c r="F323" s="1840"/>
      <c r="G323" s="429"/>
      <c r="H323" s="1840"/>
      <c r="I323" s="1840"/>
      <c r="J323" s="1840"/>
      <c r="K323" s="1840"/>
      <c r="L323" s="1840"/>
      <c r="M323" s="1840"/>
      <c r="N323" s="1840"/>
      <c r="O323" s="1840"/>
      <c r="P323" s="401"/>
      <c r="Q323" s="401"/>
      <c r="R323" s="401"/>
      <c r="S323" s="401"/>
      <c r="T323" s="401"/>
      <c r="U323" s="401"/>
      <c r="V323" s="401"/>
      <c r="W323" s="401"/>
      <c r="X323" s="401"/>
      <c r="Y323" s="401"/>
      <c r="Z323" s="401"/>
      <c r="AA323" s="401"/>
      <c r="AB323" s="401"/>
      <c r="AC323" s="401"/>
      <c r="AD323" s="401"/>
      <c r="AE323" s="401"/>
      <c r="AF323" s="401"/>
      <c r="AG323" s="401"/>
      <c r="AH323" s="401"/>
      <c r="AI323" s="401"/>
      <c r="AJ323" s="401"/>
      <c r="AK323" s="401"/>
      <c r="AL323" s="401"/>
      <c r="AM323" s="401"/>
      <c r="AN323" s="401"/>
      <c r="AO323" s="401"/>
    </row>
    <row r="324" spans="1:41" x14ac:dyDescent="0.2">
      <c r="A324" s="429"/>
      <c r="B324" s="1840"/>
      <c r="C324" s="1840"/>
      <c r="D324" s="1840"/>
      <c r="E324" s="1840"/>
      <c r="F324" s="1840"/>
      <c r="G324" s="429"/>
      <c r="H324" s="1840"/>
      <c r="I324" s="1840"/>
      <c r="J324" s="1840"/>
      <c r="K324" s="1840"/>
      <c r="L324" s="1840"/>
      <c r="M324" s="1840"/>
      <c r="N324" s="1840"/>
      <c r="O324" s="1840"/>
      <c r="P324" s="401"/>
      <c r="Q324" s="401"/>
      <c r="R324" s="401"/>
      <c r="S324" s="401"/>
      <c r="T324" s="401"/>
      <c r="U324" s="401"/>
      <c r="V324" s="401"/>
      <c r="W324" s="401"/>
      <c r="X324" s="401"/>
      <c r="Y324" s="401"/>
      <c r="Z324" s="401"/>
      <c r="AA324" s="401"/>
      <c r="AB324" s="401"/>
      <c r="AC324" s="401"/>
      <c r="AD324" s="401"/>
      <c r="AE324" s="401"/>
      <c r="AF324" s="401"/>
      <c r="AG324" s="401"/>
      <c r="AH324" s="401"/>
      <c r="AI324" s="401"/>
      <c r="AJ324" s="401"/>
      <c r="AK324" s="401"/>
      <c r="AL324" s="401"/>
      <c r="AM324" s="401"/>
      <c r="AN324" s="401"/>
      <c r="AO324" s="401"/>
    </row>
    <row r="325" spans="1:41" x14ac:dyDescent="0.2">
      <c r="A325" s="429"/>
      <c r="B325" s="1840"/>
      <c r="C325" s="1840"/>
      <c r="D325" s="1840"/>
      <c r="E325" s="1840"/>
      <c r="F325" s="1840"/>
      <c r="G325" s="429"/>
      <c r="H325" s="1840"/>
      <c r="I325" s="1840"/>
      <c r="J325" s="1840"/>
      <c r="K325" s="1840"/>
      <c r="L325" s="1840"/>
      <c r="M325" s="1840"/>
      <c r="N325" s="1840"/>
      <c r="O325" s="1840"/>
      <c r="P325" s="401"/>
      <c r="Q325" s="401"/>
      <c r="R325" s="401"/>
      <c r="S325" s="401"/>
      <c r="T325" s="401"/>
      <c r="U325" s="401"/>
      <c r="V325" s="401"/>
      <c r="W325" s="401"/>
      <c r="X325" s="401"/>
      <c r="Y325" s="401"/>
      <c r="Z325" s="401"/>
      <c r="AA325" s="401"/>
      <c r="AB325" s="401"/>
      <c r="AC325" s="401"/>
      <c r="AD325" s="401"/>
      <c r="AE325" s="401"/>
      <c r="AF325" s="401"/>
      <c r="AG325" s="401"/>
      <c r="AH325" s="401"/>
      <c r="AI325" s="401"/>
      <c r="AJ325" s="401"/>
      <c r="AK325" s="401"/>
      <c r="AL325" s="401"/>
      <c r="AM325" s="401"/>
      <c r="AN325" s="401"/>
      <c r="AO325" s="401"/>
    </row>
    <row r="326" spans="1:41" x14ac:dyDescent="0.2">
      <c r="A326" s="429"/>
      <c r="B326" s="1840"/>
      <c r="C326" s="1840"/>
      <c r="D326" s="1840"/>
      <c r="E326" s="1840"/>
      <c r="F326" s="1840"/>
      <c r="G326" s="429"/>
      <c r="H326" s="1840"/>
      <c r="I326" s="1840"/>
      <c r="J326" s="1840"/>
      <c r="K326" s="1840"/>
      <c r="L326" s="1840"/>
      <c r="M326" s="1840"/>
      <c r="N326" s="1840"/>
      <c r="O326" s="1840"/>
      <c r="P326" s="401"/>
      <c r="Q326" s="401"/>
      <c r="R326" s="401"/>
      <c r="S326" s="401"/>
      <c r="T326" s="401"/>
      <c r="U326" s="401"/>
      <c r="V326" s="401"/>
      <c r="W326" s="401"/>
      <c r="X326" s="401"/>
      <c r="Y326" s="401"/>
      <c r="Z326" s="401"/>
      <c r="AA326" s="401"/>
      <c r="AB326" s="401"/>
      <c r="AC326" s="401"/>
      <c r="AD326" s="401"/>
      <c r="AE326" s="401"/>
      <c r="AF326" s="401"/>
      <c r="AG326" s="401"/>
      <c r="AH326" s="401"/>
      <c r="AI326" s="401"/>
      <c r="AJ326" s="401"/>
      <c r="AK326" s="401"/>
      <c r="AL326" s="401"/>
      <c r="AM326" s="401"/>
      <c r="AN326" s="401"/>
      <c r="AO326" s="401"/>
    </row>
    <row r="327" spans="1:41" x14ac:dyDescent="0.2">
      <c r="A327" s="429"/>
      <c r="B327" s="1840"/>
      <c r="C327" s="1840"/>
      <c r="D327" s="1840"/>
      <c r="E327" s="1840"/>
      <c r="F327" s="1840"/>
      <c r="G327" s="429"/>
      <c r="H327" s="1840"/>
      <c r="I327" s="1840"/>
      <c r="J327" s="1840"/>
      <c r="K327" s="1840"/>
      <c r="L327" s="1840"/>
      <c r="M327" s="1840"/>
      <c r="N327" s="1840"/>
      <c r="O327" s="1840"/>
      <c r="P327" s="401"/>
      <c r="Q327" s="401"/>
      <c r="R327" s="401"/>
      <c r="S327" s="401"/>
      <c r="T327" s="401"/>
      <c r="U327" s="401"/>
      <c r="V327" s="401"/>
      <c r="W327" s="401"/>
      <c r="X327" s="401"/>
      <c r="Y327" s="401"/>
      <c r="Z327" s="401"/>
      <c r="AA327" s="401"/>
      <c r="AB327" s="401"/>
      <c r="AC327" s="401"/>
      <c r="AD327" s="401"/>
      <c r="AE327" s="401"/>
      <c r="AF327" s="401"/>
      <c r="AG327" s="401"/>
      <c r="AH327" s="401"/>
      <c r="AI327" s="401"/>
      <c r="AJ327" s="401"/>
      <c r="AK327" s="401"/>
      <c r="AL327" s="401"/>
      <c r="AM327" s="401"/>
      <c r="AN327" s="401"/>
      <c r="AO327" s="401"/>
    </row>
    <row r="328" spans="1:41" x14ac:dyDescent="0.2">
      <c r="A328" s="429"/>
      <c r="B328" s="1840"/>
      <c r="C328" s="1840"/>
      <c r="D328" s="1840"/>
      <c r="E328" s="1840"/>
      <c r="F328" s="1840"/>
      <c r="G328" s="429"/>
      <c r="H328" s="1840"/>
      <c r="I328" s="1840"/>
      <c r="J328" s="1840"/>
      <c r="K328" s="1840"/>
      <c r="L328" s="1840"/>
      <c r="M328" s="1840"/>
      <c r="N328" s="1840"/>
      <c r="O328" s="1840"/>
      <c r="P328" s="401"/>
      <c r="Q328" s="401"/>
      <c r="R328" s="401"/>
      <c r="S328" s="401"/>
      <c r="T328" s="401"/>
      <c r="U328" s="401"/>
      <c r="V328" s="401"/>
      <c r="W328" s="401"/>
      <c r="X328" s="401"/>
      <c r="Y328" s="401"/>
      <c r="Z328" s="401"/>
      <c r="AA328" s="401"/>
      <c r="AB328" s="401"/>
      <c r="AC328" s="401"/>
      <c r="AD328" s="401"/>
      <c r="AE328" s="401"/>
      <c r="AF328" s="401"/>
      <c r="AG328" s="401"/>
      <c r="AH328" s="401"/>
      <c r="AI328" s="401"/>
      <c r="AJ328" s="401"/>
      <c r="AK328" s="401"/>
      <c r="AL328" s="401"/>
      <c r="AM328" s="401"/>
      <c r="AN328" s="401"/>
      <c r="AO328" s="401"/>
    </row>
    <row r="329" spans="1:41" x14ac:dyDescent="0.2">
      <c r="A329" s="429"/>
      <c r="B329" s="1840"/>
      <c r="C329" s="1840"/>
      <c r="D329" s="1840"/>
      <c r="E329" s="1840"/>
      <c r="F329" s="1840"/>
      <c r="G329" s="429"/>
      <c r="H329" s="1840"/>
      <c r="I329" s="1840"/>
      <c r="J329" s="1840"/>
      <c r="K329" s="1840"/>
      <c r="L329" s="1840"/>
      <c r="M329" s="1840"/>
      <c r="N329" s="1840"/>
      <c r="O329" s="1840"/>
      <c r="P329" s="401"/>
      <c r="Q329" s="401"/>
      <c r="R329" s="401"/>
      <c r="S329" s="401"/>
      <c r="T329" s="401"/>
      <c r="U329" s="401"/>
      <c r="V329" s="401"/>
      <c r="W329" s="401"/>
      <c r="X329" s="401"/>
      <c r="Y329" s="401"/>
      <c r="Z329" s="401"/>
      <c r="AA329" s="401"/>
      <c r="AB329" s="401"/>
      <c r="AC329" s="401"/>
      <c r="AD329" s="401"/>
      <c r="AE329" s="401"/>
      <c r="AF329" s="401"/>
      <c r="AG329" s="401"/>
      <c r="AH329" s="401"/>
      <c r="AI329" s="401"/>
      <c r="AJ329" s="401"/>
      <c r="AK329" s="401"/>
      <c r="AL329" s="401"/>
      <c r="AM329" s="401"/>
      <c r="AN329" s="401"/>
      <c r="AO329" s="401"/>
    </row>
    <row r="330" spans="1:41" x14ac:dyDescent="0.2">
      <c r="A330" s="430"/>
      <c r="B330" s="1843"/>
      <c r="C330" s="1843"/>
      <c r="D330" s="1843"/>
      <c r="E330" s="1843"/>
      <c r="F330" s="1843"/>
      <c r="G330" s="431"/>
      <c r="H330" s="1843"/>
      <c r="I330" s="1843"/>
      <c r="J330" s="1843"/>
      <c r="K330" s="1843"/>
      <c r="L330" s="1843"/>
      <c r="M330" s="1843"/>
      <c r="N330" s="1843"/>
      <c r="O330" s="1843"/>
      <c r="P330" s="401"/>
      <c r="Q330" s="401"/>
      <c r="R330" s="401"/>
      <c r="S330" s="401"/>
      <c r="T330" s="401"/>
      <c r="U330" s="401"/>
      <c r="V330" s="401"/>
      <c r="W330" s="401"/>
      <c r="X330" s="401"/>
      <c r="Y330" s="401"/>
      <c r="Z330" s="401"/>
      <c r="AA330" s="401"/>
      <c r="AB330" s="401"/>
      <c r="AC330" s="401"/>
      <c r="AD330" s="401"/>
      <c r="AE330" s="401"/>
      <c r="AF330" s="401"/>
      <c r="AG330" s="401"/>
      <c r="AH330" s="401"/>
      <c r="AI330" s="401"/>
      <c r="AJ330" s="401"/>
      <c r="AK330" s="401"/>
      <c r="AL330" s="401"/>
      <c r="AM330" s="401"/>
      <c r="AN330" s="401"/>
      <c r="AO330" s="401"/>
    </row>
    <row r="331" spans="1:41" x14ac:dyDescent="0.2">
      <c r="A331" s="1844"/>
      <c r="B331" s="1844"/>
      <c r="C331" s="1844"/>
      <c r="D331" s="1844"/>
      <c r="E331" s="1844"/>
      <c r="F331" s="1844"/>
      <c r="G331" s="1844"/>
      <c r="H331" s="1844"/>
      <c r="I331" s="1844"/>
      <c r="J331" s="1844"/>
      <c r="K331" s="1844"/>
      <c r="L331" s="1844"/>
      <c r="M331" s="1844"/>
      <c r="N331" s="1844"/>
      <c r="O331" s="1844"/>
      <c r="P331" s="401"/>
      <c r="Q331" s="401"/>
      <c r="R331" s="401"/>
      <c r="S331" s="401"/>
      <c r="T331" s="401"/>
      <c r="U331" s="401"/>
      <c r="V331" s="401"/>
      <c r="W331" s="401"/>
      <c r="X331" s="401"/>
      <c r="Y331" s="401"/>
      <c r="Z331" s="401"/>
      <c r="AA331" s="401"/>
      <c r="AB331" s="401"/>
      <c r="AC331" s="401"/>
      <c r="AD331" s="401"/>
      <c r="AE331" s="401"/>
      <c r="AF331" s="401"/>
      <c r="AG331" s="401"/>
      <c r="AH331" s="401"/>
      <c r="AI331" s="401"/>
      <c r="AJ331" s="401"/>
      <c r="AK331" s="401"/>
      <c r="AL331" s="401"/>
      <c r="AM331" s="401"/>
      <c r="AN331" s="401"/>
      <c r="AO331" s="401"/>
    </row>
    <row r="332" spans="1:41" x14ac:dyDescent="0.2">
      <c r="A332" s="432"/>
      <c r="B332" s="1841"/>
      <c r="C332" s="1841"/>
      <c r="D332" s="1841"/>
      <c r="E332" s="1841"/>
      <c r="F332" s="1841"/>
      <c r="G332" s="432"/>
      <c r="H332" s="1841"/>
      <c r="I332" s="1841"/>
      <c r="J332" s="1841"/>
      <c r="K332" s="1841"/>
      <c r="L332" s="1841"/>
      <c r="M332" s="1841"/>
      <c r="N332" s="1841"/>
      <c r="O332" s="1841"/>
    </row>
    <row r="333" spans="1:41" x14ac:dyDescent="0.2">
      <c r="A333" s="432"/>
      <c r="B333" s="1841"/>
      <c r="C333" s="1841"/>
      <c r="D333" s="1841"/>
      <c r="E333" s="1841"/>
      <c r="F333" s="1841"/>
      <c r="G333" s="432"/>
      <c r="H333" s="1841"/>
      <c r="I333" s="1841"/>
      <c r="J333" s="1841"/>
      <c r="K333" s="1841"/>
      <c r="L333" s="1841"/>
      <c r="M333" s="1841"/>
      <c r="N333" s="1841"/>
      <c r="O333" s="1841"/>
    </row>
    <row r="334" spans="1:41" x14ac:dyDescent="0.2">
      <c r="A334" s="432"/>
      <c r="B334" s="1841"/>
      <c r="C334" s="1841"/>
      <c r="D334" s="1841"/>
      <c r="E334" s="1841"/>
      <c r="F334" s="1841"/>
      <c r="G334" s="432"/>
      <c r="H334" s="1841"/>
      <c r="I334" s="1841"/>
      <c r="J334" s="1841"/>
      <c r="K334" s="1841"/>
      <c r="L334" s="1841"/>
      <c r="M334" s="1841"/>
      <c r="N334" s="1841"/>
      <c r="O334" s="1841"/>
    </row>
    <row r="335" spans="1:41" x14ac:dyDescent="0.2">
      <c r="A335" s="432"/>
      <c r="B335" s="1841"/>
      <c r="C335" s="1841"/>
      <c r="D335" s="1841"/>
      <c r="E335" s="1841"/>
      <c r="F335" s="1841"/>
      <c r="G335" s="432"/>
      <c r="H335" s="1841"/>
      <c r="I335" s="1841"/>
      <c r="J335" s="1841"/>
      <c r="K335" s="1841"/>
      <c r="L335" s="1841"/>
      <c r="M335" s="1841"/>
      <c r="N335" s="1841"/>
      <c r="O335" s="1841"/>
    </row>
    <row r="336" spans="1:41" x14ac:dyDescent="0.2">
      <c r="A336" s="432"/>
      <c r="B336" s="1841"/>
      <c r="C336" s="1841"/>
      <c r="D336" s="1841"/>
      <c r="E336" s="1841"/>
      <c r="F336" s="1841"/>
      <c r="G336" s="432"/>
      <c r="H336" s="1841"/>
      <c r="I336" s="1841"/>
      <c r="J336" s="1841"/>
      <c r="K336" s="1841"/>
      <c r="L336" s="1841"/>
      <c r="M336" s="1841"/>
      <c r="N336" s="1841"/>
      <c r="O336" s="1841"/>
    </row>
    <row r="337" spans="1:15" x14ac:dyDescent="0.2">
      <c r="A337" s="432"/>
      <c r="B337" s="1841"/>
      <c r="C337" s="1841"/>
      <c r="D337" s="1841"/>
      <c r="E337" s="1841"/>
      <c r="F337" s="1841"/>
      <c r="G337" s="432"/>
      <c r="H337" s="1841"/>
      <c r="I337" s="1841"/>
      <c r="J337" s="1841"/>
      <c r="K337" s="1841"/>
      <c r="L337" s="1841"/>
      <c r="M337" s="1841"/>
      <c r="N337" s="1841"/>
      <c r="O337" s="1841"/>
    </row>
    <row r="338" spans="1:15" x14ac:dyDescent="0.2">
      <c r="A338" s="432"/>
      <c r="B338" s="1841"/>
      <c r="C338" s="1841"/>
      <c r="D338" s="1841"/>
      <c r="E338" s="1841"/>
      <c r="F338" s="1841"/>
      <c r="G338" s="432"/>
      <c r="H338" s="1841"/>
      <c r="I338" s="1841"/>
      <c r="J338" s="1841"/>
      <c r="K338" s="1841"/>
      <c r="L338" s="1841"/>
      <c r="M338" s="1841"/>
      <c r="N338" s="1841"/>
      <c r="O338" s="1841"/>
    </row>
    <row r="339" spans="1:15" x14ac:dyDescent="0.2">
      <c r="A339" s="432"/>
      <c r="B339" s="1841"/>
      <c r="C339" s="1841"/>
      <c r="D339" s="1841"/>
      <c r="E339" s="1841"/>
      <c r="F339" s="1841"/>
      <c r="G339" s="432"/>
      <c r="H339" s="1841"/>
      <c r="I339" s="1841"/>
      <c r="J339" s="1841"/>
      <c r="K339" s="1841"/>
      <c r="L339" s="1841"/>
      <c r="M339" s="1841"/>
      <c r="N339" s="1841"/>
      <c r="O339" s="1841"/>
    </row>
    <row r="340" spans="1:15" x14ac:dyDescent="0.2">
      <c r="A340" s="432"/>
      <c r="B340" s="1841"/>
      <c r="C340" s="1841"/>
      <c r="D340" s="1841"/>
      <c r="E340" s="1841"/>
      <c r="F340" s="1841"/>
      <c r="G340" s="432"/>
      <c r="H340" s="1841"/>
      <c r="I340" s="1841"/>
      <c r="J340" s="1841"/>
      <c r="K340" s="1841"/>
      <c r="L340" s="1841"/>
      <c r="M340" s="1841"/>
      <c r="N340" s="1841"/>
      <c r="O340" s="1841"/>
    </row>
    <row r="341" spans="1:15" x14ac:dyDescent="0.2">
      <c r="A341" s="432"/>
      <c r="B341" s="1841"/>
      <c r="C341" s="1841"/>
      <c r="D341" s="1841"/>
      <c r="E341" s="1841"/>
      <c r="F341" s="1841"/>
      <c r="G341" s="432"/>
      <c r="H341" s="1841"/>
      <c r="I341" s="1841"/>
      <c r="J341" s="1841"/>
      <c r="K341" s="1841"/>
      <c r="L341" s="1841"/>
      <c r="M341" s="1841"/>
      <c r="N341" s="1841"/>
      <c r="O341" s="1841"/>
    </row>
    <row r="342" spans="1:15" x14ac:dyDescent="0.2">
      <c r="A342" s="432"/>
      <c r="B342" s="1841"/>
      <c r="C342" s="1841"/>
      <c r="D342" s="1841"/>
      <c r="E342" s="1841"/>
      <c r="F342" s="1841"/>
      <c r="G342" s="432"/>
      <c r="H342" s="1841"/>
      <c r="I342" s="1841"/>
      <c r="J342" s="1841"/>
      <c r="K342" s="1841"/>
      <c r="L342" s="1841"/>
      <c r="M342" s="1841"/>
      <c r="N342" s="1841"/>
      <c r="O342" s="1841"/>
    </row>
    <row r="343" spans="1:15" x14ac:dyDescent="0.2">
      <c r="A343" s="432"/>
      <c r="B343" s="1841"/>
      <c r="C343" s="1841"/>
      <c r="D343" s="1841"/>
      <c r="E343" s="1841"/>
      <c r="F343" s="1841"/>
      <c r="G343" s="432"/>
      <c r="H343" s="1841"/>
      <c r="I343" s="1841"/>
      <c r="J343" s="1841"/>
      <c r="K343" s="1841"/>
      <c r="L343" s="1841"/>
      <c r="M343" s="1841"/>
      <c r="N343" s="1841"/>
      <c r="O343" s="1841"/>
    </row>
    <row r="344" spans="1:15" x14ac:dyDescent="0.2">
      <c r="A344" s="432"/>
      <c r="B344" s="1841"/>
      <c r="C344" s="1841"/>
      <c r="D344" s="1841"/>
      <c r="E344" s="1841"/>
      <c r="F344" s="1841"/>
      <c r="G344" s="432"/>
      <c r="H344" s="1841"/>
      <c r="I344" s="1841"/>
      <c r="J344" s="1841"/>
      <c r="K344" s="1841"/>
      <c r="L344" s="1841"/>
      <c r="M344" s="1841"/>
      <c r="N344" s="1841"/>
      <c r="O344" s="1841"/>
    </row>
    <row r="345" spans="1:15" x14ac:dyDescent="0.2">
      <c r="A345" s="432"/>
      <c r="B345" s="1841"/>
      <c r="C345" s="1841"/>
      <c r="D345" s="1841"/>
      <c r="E345" s="1841"/>
      <c r="F345" s="1841"/>
      <c r="G345" s="432"/>
      <c r="H345" s="1841"/>
      <c r="I345" s="1841"/>
      <c r="J345" s="1841"/>
      <c r="K345" s="1841"/>
      <c r="L345" s="1841"/>
      <c r="M345" s="1841"/>
      <c r="N345" s="1841"/>
      <c r="O345" s="1841"/>
    </row>
    <row r="346" spans="1:15" x14ac:dyDescent="0.2">
      <c r="A346" s="432"/>
      <c r="B346" s="1841"/>
      <c r="C346" s="1841"/>
      <c r="D346" s="1841"/>
      <c r="E346" s="1841"/>
      <c r="F346" s="1841"/>
      <c r="G346" s="432"/>
      <c r="H346" s="1841"/>
      <c r="I346" s="1841"/>
      <c r="J346" s="1841"/>
      <c r="K346" s="1841"/>
      <c r="L346" s="1841"/>
      <c r="M346" s="1841"/>
      <c r="N346" s="1841"/>
      <c r="O346" s="1841"/>
    </row>
    <row r="347" spans="1:15" x14ac:dyDescent="0.2">
      <c r="A347" s="432"/>
      <c r="B347" s="1841"/>
      <c r="C347" s="1841"/>
      <c r="D347" s="1841"/>
      <c r="E347" s="1841"/>
      <c r="F347" s="1841"/>
      <c r="G347" s="432"/>
      <c r="H347" s="1841"/>
      <c r="I347" s="1841"/>
      <c r="J347" s="1841"/>
      <c r="K347" s="1841"/>
      <c r="L347" s="1841"/>
      <c r="M347" s="1841"/>
      <c r="N347" s="1841"/>
      <c r="O347" s="1841"/>
    </row>
    <row r="348" spans="1:15" x14ac:dyDescent="0.2">
      <c r="A348" s="432"/>
      <c r="B348" s="1841"/>
      <c r="C348" s="1841"/>
      <c r="D348" s="1841"/>
      <c r="E348" s="1841"/>
      <c r="F348" s="1841"/>
      <c r="G348" s="432"/>
      <c r="H348" s="1841"/>
      <c r="I348" s="1841"/>
      <c r="J348" s="1841"/>
      <c r="K348" s="1841"/>
      <c r="L348" s="1841"/>
      <c r="M348" s="1841"/>
      <c r="N348" s="1841"/>
      <c r="O348" s="1841"/>
    </row>
    <row r="349" spans="1:15" x14ac:dyDescent="0.2">
      <c r="A349" s="432"/>
      <c r="B349" s="1841"/>
      <c r="C349" s="1841"/>
      <c r="D349" s="1841"/>
      <c r="E349" s="1841"/>
      <c r="F349" s="1841"/>
      <c r="G349" s="432"/>
      <c r="H349" s="1841"/>
      <c r="I349" s="1841"/>
      <c r="J349" s="1841"/>
      <c r="K349" s="1841"/>
      <c r="L349" s="1841"/>
      <c r="M349" s="1841"/>
      <c r="N349" s="1841"/>
      <c r="O349" s="1841"/>
    </row>
    <row r="350" spans="1:15" x14ac:dyDescent="0.2">
      <c r="A350" s="432"/>
      <c r="B350" s="1841"/>
      <c r="C350" s="1841"/>
      <c r="D350" s="1841"/>
      <c r="E350" s="1841"/>
      <c r="F350" s="1841"/>
      <c r="G350" s="432"/>
      <c r="H350" s="1841"/>
      <c r="I350" s="1841"/>
      <c r="J350" s="1841"/>
      <c r="K350" s="1841"/>
      <c r="L350" s="1841"/>
      <c r="M350" s="1841"/>
      <c r="N350" s="1841"/>
      <c r="O350" s="1841"/>
    </row>
    <row r="351" spans="1:15" x14ac:dyDescent="0.2">
      <c r="A351" s="432"/>
      <c r="B351" s="1841"/>
      <c r="C351" s="1841"/>
      <c r="D351" s="1841"/>
      <c r="E351" s="1841"/>
      <c r="F351" s="1841"/>
      <c r="G351" s="432"/>
      <c r="H351" s="1841"/>
      <c r="I351" s="1841"/>
      <c r="J351" s="1841"/>
      <c r="K351" s="1841"/>
      <c r="L351" s="1841"/>
      <c r="M351" s="1841"/>
      <c r="N351" s="1841"/>
      <c r="O351" s="1841"/>
    </row>
    <row r="352" spans="1:15" x14ac:dyDescent="0.2">
      <c r="A352" s="432"/>
      <c r="B352" s="1841"/>
      <c r="C352" s="1841"/>
      <c r="D352" s="1841"/>
      <c r="E352" s="1841"/>
      <c r="F352" s="1841"/>
      <c r="G352" s="432"/>
      <c r="H352" s="1841"/>
      <c r="I352" s="1841"/>
      <c r="J352" s="1841"/>
      <c r="K352" s="1841"/>
      <c r="L352" s="1841"/>
      <c r="M352" s="1841"/>
      <c r="N352" s="1841"/>
      <c r="O352" s="1841"/>
    </row>
    <row r="353" spans="1:15" x14ac:dyDescent="0.2">
      <c r="A353" s="432"/>
      <c r="B353" s="1841"/>
      <c r="C353" s="1841"/>
      <c r="D353" s="1841"/>
      <c r="E353" s="1841"/>
      <c r="F353" s="1841"/>
      <c r="G353" s="432"/>
      <c r="H353" s="1841"/>
      <c r="I353" s="1841"/>
      <c r="J353" s="1841"/>
      <c r="K353" s="1841"/>
      <c r="L353" s="1841"/>
      <c r="M353" s="1841"/>
      <c r="N353" s="1841"/>
      <c r="O353" s="1841"/>
    </row>
    <row r="354" spans="1:15" x14ac:dyDescent="0.2">
      <c r="A354" s="432"/>
      <c r="B354" s="1841"/>
      <c r="C354" s="1841"/>
      <c r="D354" s="1841"/>
      <c r="E354" s="1841"/>
      <c r="F354" s="1841"/>
      <c r="G354" s="432"/>
      <c r="H354" s="1841"/>
      <c r="I354" s="1841"/>
      <c r="J354" s="1841"/>
      <c r="K354" s="1841"/>
      <c r="L354" s="1841"/>
      <c r="M354" s="1841"/>
      <c r="N354" s="1841"/>
      <c r="O354" s="1841"/>
    </row>
    <row r="355" spans="1:15" x14ac:dyDescent="0.2">
      <c r="A355" s="432"/>
      <c r="B355" s="1841"/>
      <c r="C355" s="1841"/>
      <c r="D355" s="1841"/>
      <c r="E355" s="1841"/>
      <c r="F355" s="1841"/>
      <c r="G355" s="432"/>
      <c r="H355" s="1841"/>
      <c r="I355" s="1841"/>
      <c r="J355" s="1841"/>
      <c r="K355" s="1841"/>
      <c r="L355" s="1841"/>
      <c r="M355" s="1841"/>
      <c r="N355" s="1841"/>
      <c r="O355" s="1841"/>
    </row>
    <row r="356" spans="1:15" x14ac:dyDescent="0.2">
      <c r="A356" s="432"/>
      <c r="B356" s="1841"/>
      <c r="C356" s="1841"/>
      <c r="D356" s="1841"/>
      <c r="E356" s="1841"/>
      <c r="F356" s="1841"/>
      <c r="G356" s="432"/>
      <c r="H356" s="1841"/>
      <c r="I356" s="1841"/>
      <c r="J356" s="1841"/>
      <c r="K356" s="1841"/>
      <c r="L356" s="1841"/>
      <c r="M356" s="1841"/>
      <c r="N356" s="1841"/>
      <c r="O356" s="1841"/>
    </row>
    <row r="357" spans="1:15" x14ac:dyDescent="0.2">
      <c r="A357" s="432"/>
      <c r="B357" s="1841"/>
      <c r="C357" s="1841"/>
      <c r="D357" s="1841"/>
      <c r="E357" s="1841"/>
      <c r="F357" s="1841"/>
      <c r="G357" s="432"/>
      <c r="H357" s="1841"/>
      <c r="I357" s="1841"/>
      <c r="J357" s="1841"/>
      <c r="K357" s="1841"/>
      <c r="L357" s="1841"/>
      <c r="M357" s="1841"/>
      <c r="N357" s="1841"/>
      <c r="O357" s="1841"/>
    </row>
    <row r="358" spans="1:15" x14ac:dyDescent="0.2">
      <c r="A358" s="432"/>
      <c r="B358" s="1841"/>
      <c r="C358" s="1841"/>
      <c r="D358" s="1841"/>
      <c r="E358" s="1841"/>
      <c r="F358" s="1841"/>
      <c r="G358" s="432"/>
      <c r="H358" s="1841"/>
      <c r="I358" s="1841"/>
      <c r="J358" s="1841"/>
      <c r="K358" s="1841"/>
      <c r="L358" s="1841"/>
      <c r="M358" s="1841"/>
      <c r="N358" s="1841"/>
      <c r="O358" s="1841"/>
    </row>
    <row r="359" spans="1:15" x14ac:dyDescent="0.2">
      <c r="A359" s="432"/>
      <c r="B359" s="1841"/>
      <c r="C359" s="1841"/>
      <c r="D359" s="1841"/>
      <c r="E359" s="1841"/>
      <c r="F359" s="1841"/>
      <c r="G359" s="432"/>
      <c r="H359" s="1841"/>
      <c r="I359" s="1841"/>
      <c r="J359" s="1841"/>
      <c r="K359" s="1841"/>
      <c r="L359" s="1841"/>
      <c r="M359" s="1841"/>
      <c r="N359" s="1841"/>
      <c r="O359" s="1841"/>
    </row>
    <row r="386" spans="1:30" x14ac:dyDescent="0.2">
      <c r="A386" s="433"/>
      <c r="B386" s="371"/>
      <c r="C386" s="372"/>
      <c r="D386" s="373"/>
      <c r="E386" s="375">
        <v>2151.5</v>
      </c>
      <c r="F386" s="375">
        <v>4863.91</v>
      </c>
      <c r="G386" s="375">
        <v>2034.3</v>
      </c>
      <c r="H386" s="374"/>
      <c r="I386" s="375">
        <v>7639.17</v>
      </c>
      <c r="J386" s="375">
        <v>3998.17</v>
      </c>
      <c r="K386" s="374"/>
      <c r="L386" s="375">
        <v>7380.17</v>
      </c>
      <c r="M386" s="375">
        <v>3064.17</v>
      </c>
      <c r="N386" s="376"/>
      <c r="O386" s="376">
        <v>8339</v>
      </c>
      <c r="P386" s="376"/>
      <c r="Q386" s="376">
        <v>11</v>
      </c>
      <c r="R386" s="376"/>
      <c r="S386" s="376">
        <v>7572</v>
      </c>
      <c r="T386" s="377">
        <v>3931</v>
      </c>
      <c r="U386" s="434"/>
      <c r="V386" s="435">
        <v>390.25</v>
      </c>
      <c r="W386" s="435">
        <v>1382.55</v>
      </c>
      <c r="X386" s="435">
        <v>71.3</v>
      </c>
      <c r="AD386" s="436"/>
    </row>
  </sheetData>
  <mergeCells count="212">
    <mergeCell ref="B355:F355"/>
    <mergeCell ref="H355:O355"/>
    <mergeCell ref="B359:F359"/>
    <mergeCell ref="H359:O359"/>
    <mergeCell ref="B356:F356"/>
    <mergeCell ref="H356:O356"/>
    <mergeCell ref="B357:F357"/>
    <mergeCell ref="H357:O357"/>
    <mergeCell ref="B358:F358"/>
    <mergeCell ref="H358:O358"/>
    <mergeCell ref="B350:F350"/>
    <mergeCell ref="H350:O350"/>
    <mergeCell ref="B351:F351"/>
    <mergeCell ref="H351:O351"/>
    <mergeCell ref="B352:F352"/>
    <mergeCell ref="H352:O352"/>
    <mergeCell ref="B353:F353"/>
    <mergeCell ref="H353:O353"/>
    <mergeCell ref="B354:F354"/>
    <mergeCell ref="H354:O354"/>
    <mergeCell ref="B345:F345"/>
    <mergeCell ref="H345:O345"/>
    <mergeCell ref="B346:F346"/>
    <mergeCell ref="H346:O346"/>
    <mergeCell ref="B347:F347"/>
    <mergeCell ref="H347:O347"/>
    <mergeCell ref="B348:F348"/>
    <mergeCell ref="H348:O348"/>
    <mergeCell ref="B349:F349"/>
    <mergeCell ref="H349:O349"/>
    <mergeCell ref="B340:F340"/>
    <mergeCell ref="H340:O340"/>
    <mergeCell ref="B341:F341"/>
    <mergeCell ref="H341:O341"/>
    <mergeCell ref="B342:F342"/>
    <mergeCell ref="H342:O342"/>
    <mergeCell ref="B343:F343"/>
    <mergeCell ref="H343:O343"/>
    <mergeCell ref="B344:F344"/>
    <mergeCell ref="H344:O344"/>
    <mergeCell ref="B335:F335"/>
    <mergeCell ref="H335:O335"/>
    <mergeCell ref="B336:F336"/>
    <mergeCell ref="H336:O336"/>
    <mergeCell ref="B337:F337"/>
    <mergeCell ref="H337:O337"/>
    <mergeCell ref="B338:F338"/>
    <mergeCell ref="H338:O338"/>
    <mergeCell ref="B339:F339"/>
    <mergeCell ref="H339:O339"/>
    <mergeCell ref="B330:F330"/>
    <mergeCell ref="H330:O330"/>
    <mergeCell ref="A331:O331"/>
    <mergeCell ref="B332:F332"/>
    <mergeCell ref="H332:O332"/>
    <mergeCell ref="B333:F333"/>
    <mergeCell ref="H333:O333"/>
    <mergeCell ref="B334:F334"/>
    <mergeCell ref="H334:O334"/>
    <mergeCell ref="B325:F325"/>
    <mergeCell ref="H325:O325"/>
    <mergeCell ref="B326:F326"/>
    <mergeCell ref="H326:O326"/>
    <mergeCell ref="B327:F327"/>
    <mergeCell ref="H327:O327"/>
    <mergeCell ref="B328:F328"/>
    <mergeCell ref="H328:O328"/>
    <mergeCell ref="B329:F329"/>
    <mergeCell ref="H329:O329"/>
    <mergeCell ref="B320:F320"/>
    <mergeCell ref="H320:O320"/>
    <mergeCell ref="B321:F321"/>
    <mergeCell ref="H321:O321"/>
    <mergeCell ref="B322:F322"/>
    <mergeCell ref="H322:O322"/>
    <mergeCell ref="B323:F323"/>
    <mergeCell ref="H323:O323"/>
    <mergeCell ref="B324:F324"/>
    <mergeCell ref="H324:O324"/>
    <mergeCell ref="B315:F315"/>
    <mergeCell ref="H315:O315"/>
    <mergeCell ref="A316:O316"/>
    <mergeCell ref="B317:F317"/>
    <mergeCell ref="H317:O317"/>
    <mergeCell ref="B318:F318"/>
    <mergeCell ref="H318:O318"/>
    <mergeCell ref="B319:F319"/>
    <mergeCell ref="H319:O319"/>
    <mergeCell ref="B310:F310"/>
    <mergeCell ref="H310:O310"/>
    <mergeCell ref="B311:F311"/>
    <mergeCell ref="H311:O311"/>
    <mergeCell ref="B312:F312"/>
    <mergeCell ref="H312:O312"/>
    <mergeCell ref="B313:F313"/>
    <mergeCell ref="H313:O313"/>
    <mergeCell ref="B314:F314"/>
    <mergeCell ref="H314:O314"/>
    <mergeCell ref="B305:F305"/>
    <mergeCell ref="H305:O305"/>
    <mergeCell ref="B306:F306"/>
    <mergeCell ref="H306:O306"/>
    <mergeCell ref="B307:F307"/>
    <mergeCell ref="H307:O307"/>
    <mergeCell ref="B308:F308"/>
    <mergeCell ref="H308:O308"/>
    <mergeCell ref="B309:F309"/>
    <mergeCell ref="H309:O309"/>
    <mergeCell ref="B300:F300"/>
    <mergeCell ref="H300:O300"/>
    <mergeCell ref="B301:F301"/>
    <mergeCell ref="H301:O301"/>
    <mergeCell ref="B302:F302"/>
    <mergeCell ref="H302:O302"/>
    <mergeCell ref="B303:F303"/>
    <mergeCell ref="H303:O303"/>
    <mergeCell ref="B304:F304"/>
    <mergeCell ref="H304:O304"/>
    <mergeCell ref="B295:F295"/>
    <mergeCell ref="H295:O295"/>
    <mergeCell ref="B296:F296"/>
    <mergeCell ref="H296:O296"/>
    <mergeCell ref="B297:F297"/>
    <mergeCell ref="H297:O297"/>
    <mergeCell ref="B298:F298"/>
    <mergeCell ref="H298:O298"/>
    <mergeCell ref="B299:F299"/>
    <mergeCell ref="H299:O299"/>
    <mergeCell ref="B290:F290"/>
    <mergeCell ref="H290:O290"/>
    <mergeCell ref="B291:F291"/>
    <mergeCell ref="H291:O291"/>
    <mergeCell ref="B292:F292"/>
    <mergeCell ref="H292:O292"/>
    <mergeCell ref="B293:F293"/>
    <mergeCell ref="H293:O293"/>
    <mergeCell ref="B294:F294"/>
    <mergeCell ref="H294:O294"/>
    <mergeCell ref="B285:F285"/>
    <mergeCell ref="H285:O285"/>
    <mergeCell ref="B286:F286"/>
    <mergeCell ref="H286:O286"/>
    <mergeCell ref="B287:F287"/>
    <mergeCell ref="H287:O287"/>
    <mergeCell ref="B288:F288"/>
    <mergeCell ref="H288:O288"/>
    <mergeCell ref="B289:F289"/>
    <mergeCell ref="H289:O289"/>
    <mergeCell ref="B280:F280"/>
    <mergeCell ref="H280:O280"/>
    <mergeCell ref="B281:F281"/>
    <mergeCell ref="H281:O281"/>
    <mergeCell ref="B282:F282"/>
    <mergeCell ref="H282:O282"/>
    <mergeCell ref="B283:F283"/>
    <mergeCell ref="H283:O283"/>
    <mergeCell ref="B284:F284"/>
    <mergeCell ref="H284:O284"/>
    <mergeCell ref="B259:E259"/>
    <mergeCell ref="B263:E263"/>
    <mergeCell ref="B264:E264"/>
    <mergeCell ref="A275:O275"/>
    <mergeCell ref="B277:F277"/>
    <mergeCell ref="H277:O277"/>
    <mergeCell ref="A278:O278"/>
    <mergeCell ref="B279:F279"/>
    <mergeCell ref="H279:O279"/>
    <mergeCell ref="B248:E248"/>
    <mergeCell ref="B249:E249"/>
    <mergeCell ref="B250:E250"/>
    <mergeCell ref="B252:E252"/>
    <mergeCell ref="B253:E253"/>
    <mergeCell ref="B254:E254"/>
    <mergeCell ref="B255:E255"/>
    <mergeCell ref="B256:E256"/>
    <mergeCell ref="B258:E258"/>
    <mergeCell ref="B225:C225"/>
    <mergeCell ref="B226:C226"/>
    <mergeCell ref="A228:J228"/>
    <mergeCell ref="A233:J233"/>
    <mergeCell ref="A239:E239"/>
    <mergeCell ref="B243:E243"/>
    <mergeCell ref="B244:E244"/>
    <mergeCell ref="B246:E246"/>
    <mergeCell ref="B247:E247"/>
    <mergeCell ref="B215:C215"/>
    <mergeCell ref="B216:C216"/>
    <mergeCell ref="B218:C218"/>
    <mergeCell ref="B219:C219"/>
    <mergeCell ref="B220:C220"/>
    <mergeCell ref="B221:C221"/>
    <mergeCell ref="B222:C222"/>
    <mergeCell ref="B223:C223"/>
    <mergeCell ref="B224:C224"/>
    <mergeCell ref="Y172:AI172"/>
    <mergeCell ref="Y173:AI173"/>
    <mergeCell ref="Y174:AI174"/>
    <mergeCell ref="Y175:AI175"/>
    <mergeCell ref="G203:H203"/>
    <mergeCell ref="I203:K203"/>
    <mergeCell ref="L203:N203"/>
    <mergeCell ref="B214:C214"/>
    <mergeCell ref="N214:O214"/>
    <mergeCell ref="Y167:AI167"/>
    <mergeCell ref="Y168:AI168"/>
    <mergeCell ref="Y169:AI169"/>
    <mergeCell ref="Y170:AI170"/>
    <mergeCell ref="A1:S1"/>
    <mergeCell ref="Y2:AI2"/>
    <mergeCell ref="Y3:AI3"/>
    <mergeCell ref="A4:AI4"/>
    <mergeCell ref="Y171:AI17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topLeftCell="A15" workbookViewId="0">
      <selection activeCell="H41" sqref="H41"/>
    </sheetView>
  </sheetViews>
  <sheetFormatPr defaultColWidth="11.42578125" defaultRowHeight="12.75" x14ac:dyDescent="0.2"/>
  <cols>
    <col min="1" max="1" width="1.5703125" style="313" customWidth="1"/>
    <col min="2" max="2" width="22.85546875" style="309" customWidth="1"/>
    <col min="3" max="3" width="19.85546875" style="309" bestFit="1" customWidth="1"/>
    <col min="4" max="4" width="11.85546875" style="309" bestFit="1" customWidth="1"/>
    <col min="5" max="5" width="7.85546875" style="307" customWidth="1"/>
    <col min="6" max="6" width="8" style="309" customWidth="1"/>
    <col min="7" max="7" width="3.7109375" style="309" customWidth="1"/>
    <col min="8" max="8" width="8.7109375" style="307" customWidth="1"/>
    <col min="9" max="9" width="13.85546875" style="312" customWidth="1"/>
    <col min="10" max="10" width="10.7109375" style="312" customWidth="1"/>
    <col min="11" max="11" width="3.7109375" style="312" customWidth="1"/>
    <col min="12" max="12" width="14.7109375" style="313" hidden="1" customWidth="1"/>
    <col min="13" max="13" width="15" style="312" customWidth="1"/>
    <col min="14" max="14" width="5.28515625" style="324" customWidth="1"/>
    <col min="15" max="15" width="13.85546875" style="312" customWidth="1"/>
    <col min="16" max="16" width="4.42578125" style="324" customWidth="1"/>
    <col min="17" max="17" width="13" style="312" customWidth="1"/>
    <col min="18" max="18" width="3.7109375" style="312" customWidth="1"/>
    <col min="19" max="19" width="12" style="312" customWidth="1"/>
    <col min="20" max="20" width="3.7109375" style="312" customWidth="1"/>
    <col min="21" max="16384" width="11.42578125" style="309"/>
  </cols>
  <sheetData>
    <row r="1" spans="1:20" ht="13.5" thickBot="1" x14ac:dyDescent="0.25">
      <c r="B1" s="928" t="s">
        <v>225</v>
      </c>
      <c r="C1" s="308" t="str">
        <f>Id!E7</f>
        <v>CC-AHT</v>
      </c>
      <c r="F1" s="932" t="s">
        <v>283</v>
      </c>
      <c r="G1" s="933"/>
      <c r="H1" s="934"/>
      <c r="I1" s="310" t="str">
        <f>Id!B16</f>
        <v>ARRIUS 1A1</v>
      </c>
      <c r="J1" s="311"/>
      <c r="M1" s="932" t="s">
        <v>284</v>
      </c>
      <c r="N1" s="940"/>
      <c r="O1" s="310" t="str">
        <f>Id!E16</f>
        <v>ARRIUS 1A1</v>
      </c>
      <c r="P1" s="314"/>
      <c r="Q1" s="945" t="s">
        <v>282</v>
      </c>
      <c r="R1" s="946"/>
      <c r="S1" s="315">
        <f>Id!E3</f>
        <v>41449</v>
      </c>
    </row>
    <row r="2" spans="1:20" x14ac:dyDescent="0.2">
      <c r="B2" s="929" t="s">
        <v>226</v>
      </c>
      <c r="C2" s="316" t="str">
        <f>Id!B5</f>
        <v>AS 355 NP</v>
      </c>
      <c r="F2" s="930" t="s">
        <v>147</v>
      </c>
      <c r="G2" s="935"/>
      <c r="H2" s="936"/>
      <c r="I2" s="317">
        <f>Id!B18</f>
        <v>3005</v>
      </c>
      <c r="J2" s="311"/>
      <c r="M2" s="941" t="s">
        <v>147</v>
      </c>
      <c r="N2" s="942"/>
      <c r="O2" s="318">
        <f>Id!E18</f>
        <v>3008</v>
      </c>
      <c r="P2" s="314"/>
      <c r="R2" s="319"/>
    </row>
    <row r="3" spans="1:20" x14ac:dyDescent="0.2">
      <c r="B3" s="930" t="s">
        <v>146</v>
      </c>
      <c r="C3" s="320">
        <f>Id!B7</f>
        <v>5752</v>
      </c>
      <c r="F3" s="930" t="s">
        <v>148</v>
      </c>
      <c r="G3" s="935"/>
      <c r="H3" s="936"/>
      <c r="I3" s="321">
        <f>Id!B20</f>
        <v>1192.5</v>
      </c>
      <c r="J3" s="311"/>
      <c r="M3" s="941" t="s">
        <v>148</v>
      </c>
      <c r="N3" s="942"/>
      <c r="O3" s="321">
        <f>Id!E20</f>
        <v>1192.5</v>
      </c>
      <c r="P3" s="314"/>
      <c r="R3" s="313"/>
    </row>
    <row r="4" spans="1:20" x14ac:dyDescent="0.2">
      <c r="B4" s="930" t="s">
        <v>148</v>
      </c>
      <c r="C4" s="322">
        <f>Id!B11</f>
        <v>1192.5</v>
      </c>
      <c r="F4" s="930" t="s">
        <v>1307</v>
      </c>
      <c r="G4" s="935"/>
      <c r="H4" s="936"/>
      <c r="I4" s="851">
        <f>Id!B22</f>
        <v>904.85</v>
      </c>
      <c r="J4" s="311"/>
      <c r="M4" s="941" t="s">
        <v>1307</v>
      </c>
      <c r="N4" s="942"/>
      <c r="O4" s="851">
        <f>Id!E22</f>
        <v>955.25</v>
      </c>
      <c r="P4" s="314"/>
      <c r="R4" s="313"/>
    </row>
    <row r="5" spans="1:20" ht="13.5" thickBot="1" x14ac:dyDescent="0.25">
      <c r="B5" s="931" t="s">
        <v>149</v>
      </c>
      <c r="C5" s="323">
        <f>Id!E11</f>
        <v>3532</v>
      </c>
      <c r="F5" s="937" t="s">
        <v>1308</v>
      </c>
      <c r="G5" s="938"/>
      <c r="H5" s="939"/>
      <c r="I5" s="850">
        <f>Id!B24</f>
        <v>1501.85</v>
      </c>
      <c r="J5" s="311"/>
      <c r="M5" s="943" t="s">
        <v>1308</v>
      </c>
      <c r="N5" s="944"/>
      <c r="O5" s="850">
        <f>Id!E24</f>
        <v>1495.2</v>
      </c>
      <c r="P5" s="314"/>
      <c r="R5" s="313"/>
    </row>
    <row r="7" spans="1:20" x14ac:dyDescent="0.2">
      <c r="A7" s="686"/>
      <c r="B7" s="952" t="s">
        <v>150</v>
      </c>
      <c r="C7" s="952" t="s">
        <v>151</v>
      </c>
      <c r="D7" s="948" t="s">
        <v>151</v>
      </c>
      <c r="E7" s="948" t="s">
        <v>182</v>
      </c>
      <c r="F7" s="949" t="s">
        <v>87</v>
      </c>
      <c r="G7" s="950"/>
      <c r="H7" s="951" t="s">
        <v>158</v>
      </c>
      <c r="I7" s="1674" t="s">
        <v>152</v>
      </c>
      <c r="J7" s="1675"/>
      <c r="K7" s="1675"/>
      <c r="L7" s="1675"/>
      <c r="M7" s="1676" t="s">
        <v>153</v>
      </c>
      <c r="N7" s="1676"/>
      <c r="O7" s="1676" t="s">
        <v>684</v>
      </c>
      <c r="P7" s="1676"/>
      <c r="Q7" s="1676" t="s">
        <v>154</v>
      </c>
      <c r="R7" s="1677"/>
      <c r="S7" s="1676" t="s">
        <v>89</v>
      </c>
      <c r="T7" s="1676"/>
    </row>
    <row r="8" spans="1:20" ht="13.5" thickBot="1" x14ac:dyDescent="0.25">
      <c r="A8" s="686"/>
      <c r="B8" s="958" t="s">
        <v>155</v>
      </c>
      <c r="C8" s="958" t="s">
        <v>156</v>
      </c>
      <c r="D8" s="954" t="s">
        <v>157</v>
      </c>
      <c r="E8" s="954" t="s">
        <v>168</v>
      </c>
      <c r="F8" s="955"/>
      <c r="G8" s="956"/>
      <c r="H8" s="957"/>
      <c r="I8" s="1678" t="s">
        <v>159</v>
      </c>
      <c r="J8" s="1679"/>
      <c r="K8" s="1679"/>
      <c r="L8" s="1679"/>
      <c r="M8" s="1680" t="s">
        <v>160</v>
      </c>
      <c r="N8" s="1680"/>
      <c r="O8" s="1680" t="s">
        <v>161</v>
      </c>
      <c r="P8" s="1680"/>
      <c r="Q8" s="1680" t="s">
        <v>162</v>
      </c>
      <c r="R8" s="1680"/>
      <c r="S8" s="1680" t="s">
        <v>163</v>
      </c>
      <c r="T8" s="1680"/>
    </row>
    <row r="9" spans="1:20" ht="13.5" thickBot="1" x14ac:dyDescent="0.25">
      <c r="A9" s="686"/>
      <c r="B9" s="965"/>
      <c r="C9" s="965"/>
      <c r="D9" s="964"/>
      <c r="E9" s="964"/>
      <c r="F9" s="964"/>
      <c r="G9" s="961"/>
      <c r="H9" s="962"/>
      <c r="I9" s="963" t="s">
        <v>82</v>
      </c>
      <c r="J9" s="1667" t="s">
        <v>90</v>
      </c>
      <c r="K9" s="1668"/>
      <c r="L9" s="964" t="s">
        <v>164</v>
      </c>
      <c r="M9" s="1681"/>
      <c r="N9" s="1682"/>
      <c r="O9" s="1681"/>
      <c r="P9" s="1682"/>
      <c r="Q9" s="1681"/>
      <c r="R9" s="1682"/>
      <c r="S9" s="1669" t="s">
        <v>165</v>
      </c>
      <c r="T9" s="1669"/>
    </row>
    <row r="10" spans="1:20" ht="14.25" thickTop="1" thickBot="1" x14ac:dyDescent="0.25">
      <c r="A10" s="687"/>
      <c r="B10" s="760"/>
      <c r="C10" s="760"/>
      <c r="D10" s="760"/>
      <c r="E10" s="760"/>
      <c r="F10" s="760"/>
      <c r="G10" s="760"/>
      <c r="H10" s="760"/>
      <c r="I10" s="760"/>
      <c r="J10" s="760"/>
      <c r="K10" s="760"/>
      <c r="L10" s="760"/>
      <c r="M10" s="760"/>
      <c r="N10" s="761"/>
      <c r="O10" s="760"/>
      <c r="P10" s="761"/>
      <c r="Q10" s="760"/>
      <c r="R10" s="760"/>
      <c r="S10" s="760"/>
      <c r="T10" s="759"/>
    </row>
    <row r="11" spans="1:20" x14ac:dyDescent="0.2">
      <c r="A11" s="766"/>
      <c r="B11" s="767" t="s">
        <v>1320</v>
      </c>
      <c r="C11" s="767"/>
      <c r="D11" s="767"/>
      <c r="E11" s="767"/>
      <c r="F11" s="767"/>
      <c r="G11" s="767"/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7"/>
      <c r="S11" s="767"/>
      <c r="T11" s="768"/>
    </row>
    <row r="12" spans="1:20" ht="25.5" x14ac:dyDescent="0.2">
      <c r="A12" s="927"/>
      <c r="B12" s="727" t="s">
        <v>988</v>
      </c>
      <c r="C12" s="727" t="s">
        <v>989</v>
      </c>
      <c r="D12" s="728" t="s">
        <v>1084</v>
      </c>
      <c r="E12" s="700" t="s">
        <v>990</v>
      </c>
      <c r="F12" s="707">
        <v>120</v>
      </c>
      <c r="G12" s="976" t="s">
        <v>880</v>
      </c>
      <c r="H12" s="744" t="s">
        <v>987</v>
      </c>
      <c r="I12" s="703"/>
      <c r="J12" s="704" t="s">
        <v>4</v>
      </c>
      <c r="K12" s="690"/>
      <c r="L12" s="705"/>
      <c r="M12" s="698" t="s">
        <v>4</v>
      </c>
      <c r="N12" s="690"/>
      <c r="O12" s="704" t="s">
        <v>4</v>
      </c>
      <c r="P12" s="690"/>
      <c r="Q12" s="706">
        <v>42460</v>
      </c>
      <c r="R12" s="690"/>
      <c r="S12" s="701">
        <f t="shared" ref="S12:S27" si="0">Q12-$S$1</f>
        <v>1011</v>
      </c>
      <c r="T12" s="690" t="s">
        <v>906</v>
      </c>
    </row>
    <row r="13" spans="1:20" ht="25.5" x14ac:dyDescent="0.2">
      <c r="A13" s="927"/>
      <c r="B13" s="727" t="s">
        <v>991</v>
      </c>
      <c r="C13" s="727" t="s">
        <v>992</v>
      </c>
      <c r="D13" s="728" t="s">
        <v>1084</v>
      </c>
      <c r="E13" s="700" t="s">
        <v>990</v>
      </c>
      <c r="F13" s="707">
        <v>120</v>
      </c>
      <c r="G13" s="976" t="s">
        <v>880</v>
      </c>
      <c r="H13" s="744" t="s">
        <v>987</v>
      </c>
      <c r="I13" s="703"/>
      <c r="J13" s="704" t="s">
        <v>4</v>
      </c>
      <c r="K13" s="690"/>
      <c r="L13" s="705"/>
      <c r="M13" s="698" t="s">
        <v>4</v>
      </c>
      <c r="N13" s="690"/>
      <c r="O13" s="704" t="s">
        <v>4</v>
      </c>
      <c r="P13" s="690"/>
      <c r="Q13" s="706">
        <v>42460</v>
      </c>
      <c r="R13" s="690"/>
      <c r="S13" s="701">
        <f t="shared" si="0"/>
        <v>1011</v>
      </c>
      <c r="T13" s="690" t="s">
        <v>906</v>
      </c>
    </row>
    <row r="14" spans="1:20" ht="20.100000000000001" customHeight="1" x14ac:dyDescent="0.2">
      <c r="A14" s="927"/>
      <c r="B14" s="1845" t="s">
        <v>993</v>
      </c>
      <c r="C14" s="727" t="s">
        <v>994</v>
      </c>
      <c r="D14" s="727">
        <v>924</v>
      </c>
      <c r="E14" s="984" t="s">
        <v>990</v>
      </c>
      <c r="F14" s="707">
        <v>180</v>
      </c>
      <c r="G14" s="976" t="s">
        <v>880</v>
      </c>
      <c r="H14" s="744" t="s">
        <v>987</v>
      </c>
      <c r="I14" s="703">
        <v>38822</v>
      </c>
      <c r="J14" s="704" t="s">
        <v>4</v>
      </c>
      <c r="K14" s="690"/>
      <c r="L14" s="705"/>
      <c r="M14" s="698" t="s">
        <v>4</v>
      </c>
      <c r="N14" s="690"/>
      <c r="O14" s="704" t="s">
        <v>4</v>
      </c>
      <c r="P14" s="690"/>
      <c r="Q14" s="706">
        <v>44316</v>
      </c>
      <c r="R14" s="690"/>
      <c r="S14" s="701">
        <f t="shared" si="0"/>
        <v>2867</v>
      </c>
      <c r="T14" s="690" t="s">
        <v>906</v>
      </c>
    </row>
    <row r="15" spans="1:20" ht="20.100000000000001" customHeight="1" x14ac:dyDescent="0.2">
      <c r="A15" s="927"/>
      <c r="B15" s="1846"/>
      <c r="C15" s="745"/>
      <c r="D15" s="745"/>
      <c r="E15" s="987"/>
      <c r="F15" s="707">
        <v>60</v>
      </c>
      <c r="G15" s="976" t="s">
        <v>880</v>
      </c>
      <c r="H15" s="744" t="s">
        <v>1147</v>
      </c>
      <c r="I15" s="703">
        <v>40128</v>
      </c>
      <c r="J15" s="704" t="s">
        <v>4</v>
      </c>
      <c r="K15" s="690"/>
      <c r="L15" s="705"/>
      <c r="M15" s="698" t="s">
        <v>4</v>
      </c>
      <c r="N15" s="690"/>
      <c r="O15" s="704" t="s">
        <v>4</v>
      </c>
      <c r="P15" s="690"/>
      <c r="Q15" s="706">
        <v>41973</v>
      </c>
      <c r="R15" s="690"/>
      <c r="S15" s="701">
        <f t="shared" si="0"/>
        <v>524</v>
      </c>
      <c r="T15" s="690" t="s">
        <v>906</v>
      </c>
    </row>
    <row r="16" spans="1:20" ht="20.100000000000001" customHeight="1" x14ac:dyDescent="0.2">
      <c r="A16" s="927"/>
      <c r="B16" s="1847"/>
      <c r="C16" s="752"/>
      <c r="D16" s="752"/>
      <c r="E16" s="985"/>
      <c r="F16" s="707">
        <v>12</v>
      </c>
      <c r="G16" s="976" t="s">
        <v>880</v>
      </c>
      <c r="H16" s="744" t="s">
        <v>1148</v>
      </c>
      <c r="I16" s="703">
        <v>41001</v>
      </c>
      <c r="J16" s="704" t="s">
        <v>4</v>
      </c>
      <c r="K16" s="690"/>
      <c r="L16" s="705"/>
      <c r="M16" s="698" t="s">
        <v>4</v>
      </c>
      <c r="N16" s="690"/>
      <c r="O16" s="704" t="s">
        <v>4</v>
      </c>
      <c r="P16" s="690"/>
      <c r="Q16" s="706">
        <v>41273</v>
      </c>
      <c r="R16" s="690"/>
      <c r="S16" s="701">
        <f t="shared" si="0"/>
        <v>-176</v>
      </c>
      <c r="T16" s="690" t="s">
        <v>906</v>
      </c>
    </row>
    <row r="17" spans="1:21" ht="20.100000000000001" customHeight="1" x14ac:dyDescent="0.2">
      <c r="A17" s="927"/>
      <c r="B17" s="1845" t="s">
        <v>993</v>
      </c>
      <c r="C17" s="727" t="s">
        <v>994</v>
      </c>
      <c r="D17" s="727">
        <v>947</v>
      </c>
      <c r="E17" s="984" t="s">
        <v>990</v>
      </c>
      <c r="F17" s="707">
        <v>180</v>
      </c>
      <c r="G17" s="976" t="s">
        <v>880</v>
      </c>
      <c r="H17" s="744" t="s">
        <v>987</v>
      </c>
      <c r="I17" s="703">
        <v>38822</v>
      </c>
      <c r="J17" s="704" t="s">
        <v>4</v>
      </c>
      <c r="K17" s="690"/>
      <c r="L17" s="705"/>
      <c r="M17" s="698" t="s">
        <v>4</v>
      </c>
      <c r="N17" s="690"/>
      <c r="O17" s="704" t="s">
        <v>4</v>
      </c>
      <c r="P17" s="690"/>
      <c r="Q17" s="706">
        <v>44316</v>
      </c>
      <c r="R17" s="690"/>
      <c r="S17" s="701">
        <f t="shared" si="0"/>
        <v>2867</v>
      </c>
      <c r="T17" s="690" t="s">
        <v>906</v>
      </c>
    </row>
    <row r="18" spans="1:21" ht="20.100000000000001" customHeight="1" x14ac:dyDescent="0.2">
      <c r="A18" s="927"/>
      <c r="B18" s="1846"/>
      <c r="C18" s="745"/>
      <c r="D18" s="745"/>
      <c r="E18" s="987"/>
      <c r="F18" s="707">
        <v>60</v>
      </c>
      <c r="G18" s="976" t="s">
        <v>880</v>
      </c>
      <c r="H18" s="744" t="s">
        <v>1147</v>
      </c>
      <c r="I18" s="703">
        <v>40661</v>
      </c>
      <c r="J18" s="704" t="s">
        <v>4</v>
      </c>
      <c r="K18" s="690"/>
      <c r="L18" s="705"/>
      <c r="M18" s="698" t="s">
        <v>4</v>
      </c>
      <c r="N18" s="690"/>
      <c r="O18" s="704" t="s">
        <v>4</v>
      </c>
      <c r="P18" s="690"/>
      <c r="Q18" s="706">
        <v>42490</v>
      </c>
      <c r="R18" s="690"/>
      <c r="S18" s="701">
        <f t="shared" si="0"/>
        <v>1041</v>
      </c>
      <c r="T18" s="690" t="s">
        <v>906</v>
      </c>
    </row>
    <row r="19" spans="1:21" ht="20.100000000000001" customHeight="1" x14ac:dyDescent="0.2">
      <c r="A19" s="927"/>
      <c r="B19" s="1847"/>
      <c r="C19" s="752"/>
      <c r="D19" s="752"/>
      <c r="E19" s="985"/>
      <c r="F19" s="707">
        <v>12</v>
      </c>
      <c r="G19" s="976" t="s">
        <v>880</v>
      </c>
      <c r="H19" s="744" t="s">
        <v>1148</v>
      </c>
      <c r="I19" s="703">
        <v>41001</v>
      </c>
      <c r="J19" s="704" t="s">
        <v>4</v>
      </c>
      <c r="K19" s="690"/>
      <c r="L19" s="705"/>
      <c r="M19" s="698" t="s">
        <v>4</v>
      </c>
      <c r="N19" s="690"/>
      <c r="O19" s="704" t="s">
        <v>4</v>
      </c>
      <c r="P19" s="690"/>
      <c r="Q19" s="706">
        <v>41273</v>
      </c>
      <c r="R19" s="690"/>
      <c r="S19" s="701">
        <f t="shared" si="0"/>
        <v>-176</v>
      </c>
      <c r="T19" s="690" t="s">
        <v>906</v>
      </c>
    </row>
    <row r="20" spans="1:21" ht="20.100000000000001" customHeight="1" x14ac:dyDescent="0.2">
      <c r="A20" s="927"/>
      <c r="B20" s="1845" t="s">
        <v>995</v>
      </c>
      <c r="C20" s="727" t="s">
        <v>996</v>
      </c>
      <c r="D20" s="728">
        <v>1892</v>
      </c>
      <c r="E20" s="984" t="s">
        <v>990</v>
      </c>
      <c r="F20" s="707">
        <v>120</v>
      </c>
      <c r="G20" s="976" t="s">
        <v>880</v>
      </c>
      <c r="H20" s="744" t="s">
        <v>987</v>
      </c>
      <c r="I20" s="703">
        <v>39325</v>
      </c>
      <c r="J20" s="704" t="s">
        <v>4</v>
      </c>
      <c r="K20" s="690"/>
      <c r="L20" s="705"/>
      <c r="M20" s="698" t="s">
        <v>4</v>
      </c>
      <c r="N20" s="690"/>
      <c r="O20" s="704" t="s">
        <v>4</v>
      </c>
      <c r="P20" s="690"/>
      <c r="Q20" s="706">
        <v>42978</v>
      </c>
      <c r="R20" s="690"/>
      <c r="S20" s="701">
        <f t="shared" si="0"/>
        <v>1529</v>
      </c>
      <c r="T20" s="690" t="s">
        <v>906</v>
      </c>
    </row>
    <row r="21" spans="1:21" ht="20.100000000000001" customHeight="1" x14ac:dyDescent="0.2">
      <c r="A21" s="927"/>
      <c r="B21" s="1846"/>
      <c r="C21" s="745"/>
      <c r="D21" s="753"/>
      <c r="E21" s="987"/>
      <c r="F21" s="707">
        <v>60</v>
      </c>
      <c r="G21" s="976" t="s">
        <v>880</v>
      </c>
      <c r="H21" s="744" t="s">
        <v>1148</v>
      </c>
      <c r="I21" s="703">
        <v>39325</v>
      </c>
      <c r="J21" s="704" t="s">
        <v>4</v>
      </c>
      <c r="K21" s="690"/>
      <c r="L21" s="705"/>
      <c r="M21" s="698" t="s">
        <v>4</v>
      </c>
      <c r="N21" s="690"/>
      <c r="O21" s="704" t="s">
        <v>4</v>
      </c>
      <c r="P21" s="690"/>
      <c r="Q21" s="706">
        <v>41152</v>
      </c>
      <c r="R21" s="690"/>
      <c r="S21" s="701">
        <f t="shared" si="0"/>
        <v>-297</v>
      </c>
      <c r="T21" s="690" t="s">
        <v>906</v>
      </c>
    </row>
    <row r="22" spans="1:21" ht="20.100000000000001" customHeight="1" x14ac:dyDescent="0.2">
      <c r="A22" s="927"/>
      <c r="B22" s="1846"/>
      <c r="C22" s="745"/>
      <c r="D22" s="753"/>
      <c r="E22" s="987"/>
      <c r="F22" s="707">
        <v>96</v>
      </c>
      <c r="G22" s="976" t="s">
        <v>880</v>
      </c>
      <c r="H22" s="744" t="s">
        <v>1148</v>
      </c>
      <c r="I22" s="703">
        <v>39325</v>
      </c>
      <c r="J22" s="704" t="s">
        <v>4</v>
      </c>
      <c r="K22" s="690"/>
      <c r="L22" s="705"/>
      <c r="M22" s="698" t="s">
        <v>4</v>
      </c>
      <c r="N22" s="690"/>
      <c r="O22" s="704" t="s">
        <v>4</v>
      </c>
      <c r="P22" s="690"/>
      <c r="Q22" s="706">
        <v>42247</v>
      </c>
      <c r="R22" s="690"/>
      <c r="S22" s="701">
        <f t="shared" si="0"/>
        <v>798</v>
      </c>
      <c r="T22" s="690" t="s">
        <v>906</v>
      </c>
    </row>
    <row r="23" spans="1:21" ht="20.100000000000001" customHeight="1" x14ac:dyDescent="0.2">
      <c r="A23" s="927"/>
      <c r="B23" s="1847"/>
      <c r="C23" s="752"/>
      <c r="D23" s="754"/>
      <c r="E23" s="985"/>
      <c r="F23" s="701">
        <v>12</v>
      </c>
      <c r="G23" s="690" t="s">
        <v>880</v>
      </c>
      <c r="H23" s="702" t="s">
        <v>1148</v>
      </c>
      <c r="I23" s="703">
        <v>40905</v>
      </c>
      <c r="J23" s="704" t="s">
        <v>4</v>
      </c>
      <c r="K23" s="690"/>
      <c r="L23" s="705"/>
      <c r="M23" s="698" t="s">
        <v>4</v>
      </c>
      <c r="N23" s="690"/>
      <c r="O23" s="704" t="s">
        <v>4</v>
      </c>
      <c r="P23" s="690"/>
      <c r="Q23" s="706">
        <v>41271</v>
      </c>
      <c r="R23" s="690"/>
      <c r="S23" s="701">
        <f t="shared" si="0"/>
        <v>-178</v>
      </c>
      <c r="T23" s="690" t="s">
        <v>906</v>
      </c>
    </row>
    <row r="24" spans="1:21" ht="20.100000000000001" customHeight="1" x14ac:dyDescent="0.2">
      <c r="A24" s="927"/>
      <c r="B24" s="1845" t="s">
        <v>1329</v>
      </c>
      <c r="C24" s="727" t="s">
        <v>997</v>
      </c>
      <c r="D24" s="728">
        <v>1883</v>
      </c>
      <c r="E24" s="984" t="s">
        <v>990</v>
      </c>
      <c r="F24" s="707">
        <v>120</v>
      </c>
      <c r="G24" s="976" t="s">
        <v>880</v>
      </c>
      <c r="H24" s="744" t="s">
        <v>987</v>
      </c>
      <c r="I24" s="703">
        <v>40543</v>
      </c>
      <c r="J24" s="704" t="s">
        <v>4</v>
      </c>
      <c r="K24" s="690"/>
      <c r="L24" s="705"/>
      <c r="M24" s="698" t="s">
        <v>4</v>
      </c>
      <c r="N24" s="690"/>
      <c r="O24" s="704" t="s">
        <v>4</v>
      </c>
      <c r="P24" s="690"/>
      <c r="Q24" s="706">
        <v>44196</v>
      </c>
      <c r="R24" s="690"/>
      <c r="S24" s="701">
        <f t="shared" si="0"/>
        <v>2747</v>
      </c>
      <c r="T24" s="690" t="s">
        <v>906</v>
      </c>
    </row>
    <row r="25" spans="1:21" ht="20.100000000000001" customHeight="1" x14ac:dyDescent="0.2">
      <c r="A25" s="927"/>
      <c r="B25" s="1846"/>
      <c r="C25" s="745"/>
      <c r="D25" s="753"/>
      <c r="E25" s="987"/>
      <c r="F25" s="707">
        <v>60</v>
      </c>
      <c r="G25" s="976" t="s">
        <v>880</v>
      </c>
      <c r="H25" s="744" t="s">
        <v>1148</v>
      </c>
      <c r="I25" s="703">
        <v>40543</v>
      </c>
      <c r="J25" s="704" t="s">
        <v>4</v>
      </c>
      <c r="K25" s="690"/>
      <c r="L25" s="705"/>
      <c r="M25" s="698" t="s">
        <v>4</v>
      </c>
      <c r="N25" s="690"/>
      <c r="O25" s="704" t="s">
        <v>4</v>
      </c>
      <c r="P25" s="690"/>
      <c r="Q25" s="706">
        <v>42369</v>
      </c>
      <c r="R25" s="690"/>
      <c r="S25" s="701">
        <f t="shared" si="0"/>
        <v>920</v>
      </c>
      <c r="T25" s="690" t="s">
        <v>906</v>
      </c>
    </row>
    <row r="26" spans="1:21" ht="20.100000000000001" customHeight="1" x14ac:dyDescent="0.2">
      <c r="A26" s="927"/>
      <c r="B26" s="1846"/>
      <c r="C26" s="745"/>
      <c r="D26" s="753"/>
      <c r="E26" s="987"/>
      <c r="F26" s="707">
        <v>96</v>
      </c>
      <c r="G26" s="976" t="s">
        <v>880</v>
      </c>
      <c r="H26" s="744" t="s">
        <v>1148</v>
      </c>
      <c r="I26" s="703">
        <v>40543</v>
      </c>
      <c r="J26" s="704" t="s">
        <v>4</v>
      </c>
      <c r="K26" s="690"/>
      <c r="L26" s="705"/>
      <c r="M26" s="698" t="s">
        <v>4</v>
      </c>
      <c r="N26" s="690"/>
      <c r="O26" s="704" t="s">
        <v>4</v>
      </c>
      <c r="P26" s="690"/>
      <c r="Q26" s="706">
        <v>43465</v>
      </c>
      <c r="R26" s="690"/>
      <c r="S26" s="701">
        <f t="shared" si="0"/>
        <v>2016</v>
      </c>
      <c r="T26" s="690" t="s">
        <v>906</v>
      </c>
    </row>
    <row r="27" spans="1:21" ht="20.100000000000001" customHeight="1" thickBot="1" x14ac:dyDescent="0.25">
      <c r="A27" s="927"/>
      <c r="B27" s="1847"/>
      <c r="C27" s="752"/>
      <c r="D27" s="754"/>
      <c r="E27" s="985"/>
      <c r="F27" s="707">
        <v>12</v>
      </c>
      <c r="G27" s="976" t="s">
        <v>880</v>
      </c>
      <c r="H27" s="744" t="s">
        <v>1148</v>
      </c>
      <c r="I27" s="703">
        <v>40905</v>
      </c>
      <c r="J27" s="704" t="s">
        <v>4</v>
      </c>
      <c r="K27" s="690"/>
      <c r="L27" s="705"/>
      <c r="M27" s="698" t="s">
        <v>4</v>
      </c>
      <c r="N27" s="690"/>
      <c r="O27" s="704" t="s">
        <v>4</v>
      </c>
      <c r="P27" s="690"/>
      <c r="Q27" s="706">
        <v>41271</v>
      </c>
      <c r="R27" s="690"/>
      <c r="S27" s="701">
        <f t="shared" si="0"/>
        <v>-178</v>
      </c>
      <c r="T27" s="690" t="s">
        <v>906</v>
      </c>
    </row>
    <row r="28" spans="1:21" x14ac:dyDescent="0.2">
      <c r="A28" s="766"/>
      <c r="B28" s="767" t="s">
        <v>1321</v>
      </c>
      <c r="C28" s="767"/>
      <c r="D28" s="767"/>
      <c r="E28" s="767"/>
      <c r="F28" s="767"/>
      <c r="G28" s="767"/>
      <c r="H28" s="767"/>
      <c r="I28" s="767"/>
      <c r="J28" s="767"/>
      <c r="K28" s="767"/>
      <c r="L28" s="767"/>
      <c r="M28" s="767"/>
      <c r="N28" s="767"/>
      <c r="O28" s="767"/>
      <c r="P28" s="767"/>
      <c r="Q28" s="767"/>
      <c r="R28" s="767"/>
      <c r="S28" s="767"/>
      <c r="T28" s="768"/>
    </row>
    <row r="29" spans="1:21" ht="18" customHeight="1" x14ac:dyDescent="0.2">
      <c r="A29" s="927"/>
      <c r="B29" s="1642" t="s">
        <v>965</v>
      </c>
      <c r="C29" s="1634" t="s">
        <v>966</v>
      </c>
      <c r="D29" s="1634">
        <v>205</v>
      </c>
      <c r="E29" s="1635" t="s">
        <v>968</v>
      </c>
      <c r="F29" s="707">
        <v>60</v>
      </c>
      <c r="G29" s="976" t="s">
        <v>880</v>
      </c>
      <c r="H29" s="1640" t="s">
        <v>0</v>
      </c>
      <c r="I29" s="1611">
        <v>41001</v>
      </c>
      <c r="J29" s="1613">
        <v>0</v>
      </c>
      <c r="K29" s="1615" t="s">
        <v>897</v>
      </c>
      <c r="L29" s="708"/>
      <c r="M29" s="1617">
        <v>0</v>
      </c>
      <c r="N29" s="1615" t="s">
        <v>897</v>
      </c>
      <c r="O29" s="1613">
        <v>187</v>
      </c>
      <c r="P29" s="1615" t="s">
        <v>897</v>
      </c>
      <c r="Q29" s="709">
        <v>42581</v>
      </c>
      <c r="R29" s="976"/>
      <c r="S29" s="707">
        <f>Q39-$S$1</f>
        <v>-41449</v>
      </c>
      <c r="T29" s="976" t="s">
        <v>906</v>
      </c>
      <c r="U29" s="309" t="str">
        <f>IF(S:S&lt;=50,"ALERTA","")</f>
        <v>ALERTA</v>
      </c>
    </row>
    <row r="30" spans="1:21" ht="18" customHeight="1" x14ac:dyDescent="0.2">
      <c r="A30" s="927"/>
      <c r="B30" s="1620"/>
      <c r="C30" s="1622"/>
      <c r="D30" s="1622"/>
      <c r="E30" s="1639"/>
      <c r="F30" s="710">
        <v>2000</v>
      </c>
      <c r="G30" s="977" t="s">
        <v>897</v>
      </c>
      <c r="H30" s="1641"/>
      <c r="I30" s="1612"/>
      <c r="J30" s="1614"/>
      <c r="K30" s="1616"/>
      <c r="L30" s="712"/>
      <c r="M30" s="1618"/>
      <c r="N30" s="1616"/>
      <c r="O30" s="1614"/>
      <c r="P30" s="1616"/>
      <c r="Q30" s="710">
        <v>2000</v>
      </c>
      <c r="R30" s="977" t="s">
        <v>897</v>
      </c>
      <c r="S30" s="710">
        <f>2000-O39</f>
        <v>2000</v>
      </c>
      <c r="T30" s="977" t="s">
        <v>897</v>
      </c>
      <c r="U30" s="309" t="str">
        <f>IF(S:S&lt;=50,"ALERTA","")</f>
        <v/>
      </c>
    </row>
    <row r="31" spans="1:21" ht="12.75" customHeight="1" x14ac:dyDescent="0.2">
      <c r="A31" s="927"/>
      <c r="B31" s="1642" t="s">
        <v>998</v>
      </c>
      <c r="C31" s="1634" t="s">
        <v>1330</v>
      </c>
      <c r="D31" s="1634" t="s">
        <v>1331</v>
      </c>
      <c r="E31" s="989" t="s">
        <v>968</v>
      </c>
      <c r="F31" s="701">
        <v>48</v>
      </c>
      <c r="G31" s="690" t="s">
        <v>880</v>
      </c>
      <c r="H31" s="705" t="s">
        <v>987</v>
      </c>
      <c r="I31" s="703">
        <v>40742</v>
      </c>
      <c r="J31" s="704" t="s">
        <v>4</v>
      </c>
      <c r="K31" s="690"/>
      <c r="L31" s="705"/>
      <c r="M31" s="698" t="s">
        <v>4</v>
      </c>
      <c r="N31" s="690"/>
      <c r="O31" s="704" t="s">
        <v>4</v>
      </c>
      <c r="P31" s="690"/>
      <c r="Q31" s="706">
        <f>I41+(365*4)</f>
        <v>1460</v>
      </c>
      <c r="R31" s="690"/>
      <c r="S31" s="701">
        <f t="shared" ref="S31" si="1">Q31-$S$1</f>
        <v>-39989</v>
      </c>
      <c r="T31" s="690" t="s">
        <v>906</v>
      </c>
    </row>
    <row r="32" spans="1:21" x14ac:dyDescent="0.2">
      <c r="A32" s="927"/>
      <c r="B32" s="1619"/>
      <c r="C32" s="1622"/>
      <c r="D32" s="1622"/>
      <c r="E32" s="989"/>
      <c r="F32" s="707">
        <v>500</v>
      </c>
      <c r="G32" s="976" t="s">
        <v>897</v>
      </c>
      <c r="H32" s="971" t="s">
        <v>987</v>
      </c>
      <c r="I32" s="973">
        <v>41001</v>
      </c>
      <c r="J32" s="974">
        <v>0</v>
      </c>
      <c r="K32" s="976" t="s">
        <v>897</v>
      </c>
      <c r="L32" s="708"/>
      <c r="M32" s="978">
        <v>0</v>
      </c>
      <c r="N32" s="976" t="s">
        <v>897</v>
      </c>
      <c r="O32" s="974">
        <v>183</v>
      </c>
      <c r="P32" s="976" t="s">
        <v>897</v>
      </c>
      <c r="Q32" s="701">
        <v>500</v>
      </c>
      <c r="R32" s="690" t="s">
        <v>897</v>
      </c>
      <c r="S32" s="701">
        <f>Q42-O42</f>
        <v>0</v>
      </c>
      <c r="T32" s="690" t="s">
        <v>897</v>
      </c>
    </row>
    <row r="33" spans="1:22" ht="15" customHeight="1" x14ac:dyDescent="0.2">
      <c r="A33" s="927"/>
      <c r="B33" s="1642" t="s">
        <v>1154</v>
      </c>
      <c r="C33" s="1634" t="s">
        <v>1332</v>
      </c>
      <c r="D33" s="1642" t="s">
        <v>1333</v>
      </c>
      <c r="E33" s="980" t="s">
        <v>968</v>
      </c>
      <c r="F33" s="707">
        <v>36</v>
      </c>
      <c r="G33" s="976" t="s">
        <v>880</v>
      </c>
      <c r="H33" s="971" t="s">
        <v>987</v>
      </c>
      <c r="I33" s="703">
        <v>40385</v>
      </c>
      <c r="J33" s="704" t="s">
        <v>4</v>
      </c>
      <c r="K33" s="690"/>
      <c r="L33" s="705"/>
      <c r="M33" s="698" t="s">
        <v>4</v>
      </c>
      <c r="N33" s="690"/>
      <c r="O33" s="704" t="s">
        <v>4</v>
      </c>
      <c r="P33" s="690"/>
      <c r="Q33" s="706">
        <f>I43+(365*3)</f>
        <v>1095</v>
      </c>
      <c r="R33" s="690"/>
      <c r="S33" s="701">
        <f t="shared" ref="S33:S34" si="2">Q33-$S$1</f>
        <v>-40354</v>
      </c>
      <c r="T33" s="690" t="s">
        <v>906</v>
      </c>
    </row>
    <row r="34" spans="1:22" ht="15" customHeight="1" thickBot="1" x14ac:dyDescent="0.25">
      <c r="A34" s="927"/>
      <c r="B34" s="1620"/>
      <c r="C34" s="1622"/>
      <c r="D34" s="1620"/>
      <c r="E34" s="981"/>
      <c r="F34" s="701">
        <v>108</v>
      </c>
      <c r="G34" s="690" t="s">
        <v>880</v>
      </c>
      <c r="H34" s="705" t="s">
        <v>987</v>
      </c>
      <c r="I34" s="703">
        <v>39979</v>
      </c>
      <c r="J34" s="704" t="s">
        <v>4</v>
      </c>
      <c r="K34" s="690"/>
      <c r="L34" s="705"/>
      <c r="M34" s="698" t="s">
        <v>4</v>
      </c>
      <c r="N34" s="690"/>
      <c r="O34" s="704" t="s">
        <v>4</v>
      </c>
      <c r="P34" s="690"/>
      <c r="Q34" s="706">
        <f>I44+(365*9)</f>
        <v>3285</v>
      </c>
      <c r="R34" s="690"/>
      <c r="S34" s="701">
        <f t="shared" si="2"/>
        <v>-38164</v>
      </c>
      <c r="T34" s="690" t="s">
        <v>906</v>
      </c>
      <c r="V34" s="309">
        <f>108/12</f>
        <v>9</v>
      </c>
    </row>
    <row r="35" spans="1:22" x14ac:dyDescent="0.2">
      <c r="A35" s="766"/>
      <c r="B35" s="767" t="s">
        <v>1328</v>
      </c>
      <c r="C35" s="767"/>
      <c r="D35" s="767"/>
      <c r="E35" s="767"/>
      <c r="F35" s="767"/>
      <c r="G35" s="767"/>
      <c r="H35" s="767"/>
      <c r="I35" s="767"/>
      <c r="J35" s="767"/>
      <c r="K35" s="767"/>
      <c r="L35" s="767"/>
      <c r="M35" s="767"/>
      <c r="N35" s="767"/>
      <c r="O35" s="767"/>
      <c r="P35" s="767"/>
      <c r="Q35" s="767"/>
      <c r="R35" s="767"/>
      <c r="S35" s="767"/>
      <c r="T35" s="768"/>
    </row>
    <row r="36" spans="1:22" ht="18" customHeight="1" x14ac:dyDescent="0.2">
      <c r="A36" s="1683"/>
      <c r="B36" s="1642" t="s">
        <v>967</v>
      </c>
      <c r="C36" s="1634" t="s">
        <v>1324</v>
      </c>
      <c r="D36" s="1648" t="s">
        <v>1325</v>
      </c>
      <c r="E36" s="1635" t="s">
        <v>969</v>
      </c>
      <c r="F36" s="707">
        <v>36</v>
      </c>
      <c r="G36" s="976" t="s">
        <v>880</v>
      </c>
      <c r="H36" s="1640" t="s">
        <v>0</v>
      </c>
      <c r="I36" s="1611">
        <v>41143</v>
      </c>
      <c r="J36" s="1613">
        <v>2892</v>
      </c>
      <c r="K36" s="1615" t="s">
        <v>882</v>
      </c>
      <c r="L36" s="708"/>
      <c r="M36" s="1617">
        <v>0</v>
      </c>
      <c r="N36" s="1615" t="s">
        <v>882</v>
      </c>
      <c r="O36" s="1613">
        <f>M46+($C$5-J46)</f>
        <v>3532</v>
      </c>
      <c r="P36" s="1615" t="s">
        <v>882</v>
      </c>
      <c r="Q36" s="709">
        <v>41669</v>
      </c>
      <c r="R36" s="976"/>
      <c r="S36" s="707">
        <f>Q46-$S$1</f>
        <v>-41449</v>
      </c>
      <c r="T36" s="976" t="s">
        <v>906</v>
      </c>
      <c r="U36" s="309" t="str">
        <f>IF(S:S&lt;=50,"ALERTA","")</f>
        <v>ALERTA</v>
      </c>
    </row>
    <row r="37" spans="1:22" ht="18" customHeight="1" x14ac:dyDescent="0.2">
      <c r="A37" s="1683"/>
      <c r="B37" s="1620"/>
      <c r="C37" s="1622"/>
      <c r="D37" s="1649"/>
      <c r="E37" s="1639"/>
      <c r="F37" s="710">
        <v>5000</v>
      </c>
      <c r="G37" s="977" t="s">
        <v>882</v>
      </c>
      <c r="H37" s="1641"/>
      <c r="I37" s="1612"/>
      <c r="J37" s="1614"/>
      <c r="K37" s="1616"/>
      <c r="L37" s="712"/>
      <c r="M37" s="1618"/>
      <c r="N37" s="1616"/>
      <c r="O37" s="1614"/>
      <c r="P37" s="1616"/>
      <c r="Q37" s="710">
        <f>(F47-O46)+$C$5</f>
        <v>3532</v>
      </c>
      <c r="R37" s="977" t="s">
        <v>882</v>
      </c>
      <c r="S37" s="710">
        <f>Q47-$C$5</f>
        <v>-3532</v>
      </c>
      <c r="T37" s="977" t="s">
        <v>882</v>
      </c>
      <c r="U37" s="309" t="str">
        <f>IF(S:S&lt;=50,"ALERTA","")</f>
        <v>ALERTA</v>
      </c>
    </row>
    <row r="38" spans="1:22" x14ac:dyDescent="0.2">
      <c r="A38" s="685"/>
      <c r="E38" s="681"/>
    </row>
    <row r="39" spans="1:22" x14ac:dyDescent="0.2">
      <c r="A39" s="685"/>
      <c r="E39" s="681"/>
    </row>
    <row r="40" spans="1:22" x14ac:dyDescent="0.2">
      <c r="A40" s="685"/>
      <c r="E40" s="681"/>
    </row>
    <row r="41" spans="1:22" x14ac:dyDescent="0.2">
      <c r="A41" s="685"/>
      <c r="E41" s="681"/>
    </row>
    <row r="42" spans="1:22" x14ac:dyDescent="0.2">
      <c r="A42" s="685"/>
      <c r="E42" s="681"/>
    </row>
    <row r="43" spans="1:22" x14ac:dyDescent="0.2">
      <c r="A43" s="685"/>
      <c r="E43" s="681"/>
    </row>
    <row r="44" spans="1:22" x14ac:dyDescent="0.2">
      <c r="A44" s="685"/>
      <c r="E44" s="681"/>
    </row>
    <row r="45" spans="1:22" x14ac:dyDescent="0.2">
      <c r="E45" s="681"/>
    </row>
    <row r="46" spans="1:22" ht="14.25" x14ac:dyDescent="0.2">
      <c r="D46" s="326"/>
      <c r="E46" s="681"/>
    </row>
    <row r="47" spans="1:22" ht="14.25" x14ac:dyDescent="0.2">
      <c r="D47" s="326"/>
      <c r="E47" s="681"/>
    </row>
    <row r="48" spans="1:22" x14ac:dyDescent="0.2">
      <c r="E48" s="681"/>
    </row>
    <row r="49" spans="5:5" x14ac:dyDescent="0.2">
      <c r="E49" s="681"/>
    </row>
    <row r="50" spans="5:5" x14ac:dyDescent="0.2">
      <c r="E50" s="681"/>
    </row>
    <row r="51" spans="5:5" x14ac:dyDescent="0.2">
      <c r="E51" s="681"/>
    </row>
    <row r="52" spans="5:5" x14ac:dyDescent="0.2">
      <c r="E52" s="681"/>
    </row>
    <row r="53" spans="5:5" x14ac:dyDescent="0.2">
      <c r="E53" s="681"/>
    </row>
    <row r="54" spans="5:5" x14ac:dyDescent="0.2">
      <c r="E54" s="681"/>
    </row>
    <row r="55" spans="5:5" x14ac:dyDescent="0.2">
      <c r="E55" s="681"/>
    </row>
    <row r="56" spans="5:5" x14ac:dyDescent="0.2">
      <c r="E56" s="681"/>
    </row>
    <row r="57" spans="5:5" x14ac:dyDescent="0.2">
      <c r="E57" s="681"/>
    </row>
    <row r="58" spans="5:5" x14ac:dyDescent="0.2">
      <c r="E58" s="681"/>
    </row>
    <row r="59" spans="5:5" x14ac:dyDescent="0.2">
      <c r="E59" s="681"/>
    </row>
    <row r="60" spans="5:5" x14ac:dyDescent="0.2">
      <c r="E60" s="681"/>
    </row>
    <row r="61" spans="5:5" x14ac:dyDescent="0.2">
      <c r="E61" s="681"/>
    </row>
    <row r="62" spans="5:5" x14ac:dyDescent="0.2">
      <c r="E62" s="681"/>
    </row>
    <row r="63" spans="5:5" x14ac:dyDescent="0.2">
      <c r="E63" s="681"/>
    </row>
    <row r="64" spans="5:5" x14ac:dyDescent="0.2">
      <c r="E64" s="681"/>
    </row>
    <row r="65" spans="5:5" x14ac:dyDescent="0.2">
      <c r="E65" s="681"/>
    </row>
    <row r="66" spans="5:5" x14ac:dyDescent="0.2">
      <c r="E66" s="681"/>
    </row>
    <row r="67" spans="5:5" x14ac:dyDescent="0.2">
      <c r="E67" s="681"/>
    </row>
    <row r="68" spans="5:5" x14ac:dyDescent="0.2">
      <c r="E68" s="681"/>
    </row>
    <row r="69" spans="5:5" x14ac:dyDescent="0.2">
      <c r="E69" s="681"/>
    </row>
    <row r="70" spans="5:5" x14ac:dyDescent="0.2">
      <c r="E70" s="681"/>
    </row>
    <row r="71" spans="5:5" x14ac:dyDescent="0.2">
      <c r="E71" s="681"/>
    </row>
    <row r="72" spans="5:5" x14ac:dyDescent="0.2">
      <c r="E72" s="681"/>
    </row>
    <row r="73" spans="5:5" x14ac:dyDescent="0.2">
      <c r="E73" s="681"/>
    </row>
    <row r="74" spans="5:5" x14ac:dyDescent="0.2">
      <c r="E74" s="681"/>
    </row>
    <row r="75" spans="5:5" x14ac:dyDescent="0.2">
      <c r="E75" s="681"/>
    </row>
  </sheetData>
  <mergeCells count="50">
    <mergeCell ref="O36:O37"/>
    <mergeCell ref="P36:P37"/>
    <mergeCell ref="H36:H37"/>
    <mergeCell ref="I36:I37"/>
    <mergeCell ref="J36:J37"/>
    <mergeCell ref="K36:K37"/>
    <mergeCell ref="M36:M37"/>
    <mergeCell ref="N36:N37"/>
    <mergeCell ref="A36:A37"/>
    <mergeCell ref="B36:B37"/>
    <mergeCell ref="C36:C37"/>
    <mergeCell ref="D36:D37"/>
    <mergeCell ref="E36:E37"/>
    <mergeCell ref="M29:M30"/>
    <mergeCell ref="N29:N30"/>
    <mergeCell ref="O29:O30"/>
    <mergeCell ref="P29:P30"/>
    <mergeCell ref="B31:B32"/>
    <mergeCell ref="J29:J30"/>
    <mergeCell ref="K29:K30"/>
    <mergeCell ref="C31:C32"/>
    <mergeCell ref="D31:D32"/>
    <mergeCell ref="B33:B34"/>
    <mergeCell ref="D29:D30"/>
    <mergeCell ref="E29:E30"/>
    <mergeCell ref="H29:H30"/>
    <mergeCell ref="I29:I30"/>
    <mergeCell ref="C29:C30"/>
    <mergeCell ref="C33:C34"/>
    <mergeCell ref="D33:D34"/>
    <mergeCell ref="B14:B16"/>
    <mergeCell ref="B17:B19"/>
    <mergeCell ref="B20:B23"/>
    <mergeCell ref="B24:B27"/>
    <mergeCell ref="B29:B30"/>
    <mergeCell ref="J9:K9"/>
    <mergeCell ref="M9:N9"/>
    <mergeCell ref="O9:P9"/>
    <mergeCell ref="Q9:R9"/>
    <mergeCell ref="S9:T9"/>
    <mergeCell ref="I7:L7"/>
    <mergeCell ref="M7:N7"/>
    <mergeCell ref="O7:P7"/>
    <mergeCell ref="Q7:R7"/>
    <mergeCell ref="S7:T7"/>
    <mergeCell ref="I8:L8"/>
    <mergeCell ref="M8:N8"/>
    <mergeCell ref="O8:P8"/>
    <mergeCell ref="Q8:R8"/>
    <mergeCell ref="S8:T8"/>
  </mergeCells>
  <conditionalFormatting sqref="U1:U1048576">
    <cfRule type="containsText" dxfId="0" priority="1" stopIfTrue="1" operator="containsText" text="ALERTA">
      <formula>NOT(ISERROR(SEARCH("ALERTA",U1)))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70"/>
  <sheetViews>
    <sheetView showGridLines="0" zoomScaleNormal="100" workbookViewId="0">
      <selection activeCell="P9" sqref="P9"/>
    </sheetView>
  </sheetViews>
  <sheetFormatPr defaultColWidth="11" defaultRowHeight="12.75" x14ac:dyDescent="0.2"/>
  <cols>
    <col min="1" max="1" width="0.85546875" style="83" customWidth="1"/>
    <col min="2" max="2" width="31.140625" style="83" customWidth="1"/>
    <col min="3" max="3" width="5.5703125" style="84" customWidth="1"/>
    <col min="4" max="4" width="6.140625" style="85" bestFit="1" customWidth="1"/>
    <col min="5" max="5" width="12" style="86" customWidth="1"/>
    <col min="6" max="6" width="8.28515625" style="84" customWidth="1"/>
    <col min="7" max="7" width="5.28515625" style="83" customWidth="1"/>
    <col min="8" max="8" width="15.28515625" style="83" bestFit="1" customWidth="1"/>
    <col min="9" max="9" width="11.28515625" style="83" customWidth="1"/>
    <col min="10" max="10" width="9.42578125" style="87" bestFit="1" customWidth="1"/>
    <col min="11" max="11" width="4.5703125" style="83" customWidth="1"/>
    <col min="12" max="12" width="8" style="87" customWidth="1"/>
    <col min="13" max="13" width="4.85546875" style="83" customWidth="1"/>
    <col min="14" max="14" width="11.28515625" style="83" customWidth="1"/>
    <col min="15" max="15" width="8.7109375" style="83" customWidth="1"/>
    <col min="16" max="16" width="11.140625" style="83" bestFit="1" customWidth="1"/>
    <col min="17" max="16384" width="11" style="83"/>
  </cols>
  <sheetData>
    <row r="2" spans="1:15" ht="15.75" x14ac:dyDescent="0.25">
      <c r="A2" s="1561" t="s">
        <v>83</v>
      </c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</row>
    <row r="3" spans="1:15" ht="15.75" x14ac:dyDescent="0.25">
      <c r="A3" s="1561" t="s">
        <v>132</v>
      </c>
      <c r="B3" s="1561"/>
      <c r="C3" s="1561"/>
      <c r="D3" s="1561"/>
      <c r="E3" s="1561"/>
      <c r="F3" s="1561"/>
      <c r="G3" s="1561"/>
      <c r="H3" s="1561"/>
      <c r="I3" s="1561"/>
      <c r="J3" s="1561"/>
      <c r="K3" s="1561"/>
      <c r="L3" s="1561"/>
      <c r="M3" s="1561"/>
    </row>
    <row r="4" spans="1:15" ht="15.75" x14ac:dyDescent="0.2">
      <c r="A4" s="1562" t="s">
        <v>1279</v>
      </c>
      <c r="B4" s="1562"/>
      <c r="C4" s="1562"/>
      <c r="D4" s="1562"/>
      <c r="E4" s="1562"/>
      <c r="F4" s="1562"/>
      <c r="G4" s="1562"/>
      <c r="H4" s="1562"/>
      <c r="I4" s="1562"/>
      <c r="J4" s="1562"/>
      <c r="K4" s="1562"/>
      <c r="L4" s="1562"/>
      <c r="M4" s="1562"/>
    </row>
    <row r="5" spans="1:15" x14ac:dyDescent="0.2">
      <c r="B5" s="88"/>
      <c r="C5" s="89"/>
      <c r="D5" s="90"/>
      <c r="E5" s="88"/>
      <c r="F5" s="89"/>
      <c r="G5" s="88"/>
      <c r="H5" s="88"/>
      <c r="I5" s="88"/>
      <c r="J5" s="91"/>
      <c r="K5" s="88"/>
      <c r="L5" s="91"/>
      <c r="M5" s="88"/>
    </row>
    <row r="6" spans="1:15" s="92" customFormat="1" ht="15.75" x14ac:dyDescent="0.25">
      <c r="B6" s="1548" t="s">
        <v>1335</v>
      </c>
      <c r="C6" s="1563"/>
      <c r="D6" s="1564"/>
      <c r="E6" s="872" t="s">
        <v>1337</v>
      </c>
      <c r="F6" s="873"/>
      <c r="G6" s="873"/>
      <c r="H6" s="874"/>
      <c r="I6" s="872" t="s">
        <v>1336</v>
      </c>
      <c r="J6" s="870"/>
      <c r="K6" s="875"/>
      <c r="L6" s="876"/>
      <c r="M6" s="877"/>
      <c r="N6" s="1536"/>
      <c r="O6" s="1536"/>
    </row>
    <row r="7" spans="1:15" s="92" customFormat="1" ht="15.75" x14ac:dyDescent="0.25">
      <c r="B7" s="857" t="s">
        <v>133</v>
      </c>
      <c r="C7" s="1537">
        <f>Id!B11</f>
        <v>1192.5</v>
      </c>
      <c r="D7" s="1538"/>
      <c r="E7" s="859" t="s">
        <v>134</v>
      </c>
      <c r="F7" s="860"/>
      <c r="G7" s="861"/>
      <c r="H7" s="95">
        <f>Id!B20</f>
        <v>1192.5</v>
      </c>
      <c r="I7" s="859" t="s">
        <v>134</v>
      </c>
      <c r="J7" s="865"/>
      <c r="K7" s="866"/>
      <c r="L7" s="1554">
        <f>Id!E20</f>
        <v>1192.5</v>
      </c>
      <c r="M7" s="1555"/>
    </row>
    <row r="8" spans="1:15" s="92" customFormat="1" ht="15.75" x14ac:dyDescent="0.25">
      <c r="B8" s="858" t="s">
        <v>135</v>
      </c>
      <c r="C8" s="1541">
        <f>Id!E11</f>
        <v>3532</v>
      </c>
      <c r="D8" s="1542"/>
      <c r="E8" s="862" t="s">
        <v>1306</v>
      </c>
      <c r="F8" s="863"/>
      <c r="G8" s="864"/>
      <c r="H8" s="231">
        <f>Id!B22</f>
        <v>904.85</v>
      </c>
      <c r="I8" s="862" t="s">
        <v>1306</v>
      </c>
      <c r="J8" s="867"/>
      <c r="K8" s="868"/>
      <c r="L8" s="1556">
        <f>Id!E22</f>
        <v>955.25</v>
      </c>
      <c r="M8" s="1557"/>
    </row>
    <row r="9" spans="1:15" s="92" customFormat="1" ht="15.75" x14ac:dyDescent="0.25">
      <c r="B9" s="93"/>
      <c r="C9" s="93"/>
      <c r="D9" s="93"/>
      <c r="E9" s="229"/>
      <c r="F9" s="94"/>
      <c r="G9" s="94"/>
      <c r="H9" s="230"/>
      <c r="I9" s="869" t="s">
        <v>269</v>
      </c>
      <c r="J9" s="870"/>
      <c r="K9" s="871"/>
      <c r="L9" s="1539">
        <f>Id!E3</f>
        <v>41449</v>
      </c>
      <c r="M9" s="1540"/>
    </row>
    <row r="10" spans="1:15" s="92" customFormat="1" ht="15.75" x14ac:dyDescent="0.25">
      <c r="B10" s="1543"/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96"/>
    </row>
    <row r="11" spans="1:15" s="92" customFormat="1" ht="15.75" x14ac:dyDescent="0.25">
      <c r="B11" s="1544" t="s">
        <v>86</v>
      </c>
      <c r="C11" s="1544" t="s">
        <v>87</v>
      </c>
      <c r="D11" s="1546"/>
      <c r="E11" s="1547" t="s">
        <v>88</v>
      </c>
      <c r="F11" s="1547"/>
      <c r="G11" s="1547"/>
      <c r="H11" s="1548"/>
      <c r="I11" s="1549" t="s">
        <v>891</v>
      </c>
      <c r="J11" s="1547"/>
      <c r="K11" s="1547"/>
      <c r="L11" s="1550" t="s">
        <v>89</v>
      </c>
      <c r="M11" s="1551"/>
    </row>
    <row r="12" spans="1:15" s="92" customFormat="1" ht="16.5" thickBot="1" x14ac:dyDescent="0.3">
      <c r="B12" s="1545"/>
      <c r="C12" s="878"/>
      <c r="D12" s="879"/>
      <c r="E12" s="880" t="s">
        <v>82</v>
      </c>
      <c r="F12" s="1565" t="s">
        <v>90</v>
      </c>
      <c r="G12" s="1565"/>
      <c r="H12" s="881" t="s">
        <v>91</v>
      </c>
      <c r="I12" s="882" t="s">
        <v>82</v>
      </c>
      <c r="J12" s="1565" t="s">
        <v>90</v>
      </c>
      <c r="K12" s="1565"/>
      <c r="L12" s="1552"/>
      <c r="M12" s="1553"/>
    </row>
    <row r="13" spans="1:15" s="92" customFormat="1" ht="12" customHeight="1" thickBot="1" x14ac:dyDescent="0.3">
      <c r="B13" s="918"/>
      <c r="C13" s="919"/>
      <c r="D13" s="920"/>
      <c r="E13" s="921"/>
      <c r="F13" s="921"/>
      <c r="G13" s="921"/>
      <c r="H13" s="921"/>
      <c r="I13" s="922"/>
      <c r="J13" s="921"/>
      <c r="K13" s="921"/>
      <c r="L13" s="923"/>
      <c r="M13" s="924"/>
    </row>
    <row r="14" spans="1:15" s="92" customFormat="1" ht="15.75" x14ac:dyDescent="0.25">
      <c r="B14" s="883" t="s">
        <v>136</v>
      </c>
      <c r="C14" s="884"/>
      <c r="D14" s="885"/>
      <c r="E14" s="886"/>
      <c r="F14" s="884"/>
      <c r="G14" s="886"/>
      <c r="H14" s="886"/>
      <c r="I14" s="887"/>
      <c r="J14" s="888"/>
      <c r="K14" s="886"/>
      <c r="L14" s="889"/>
      <c r="M14" s="890"/>
    </row>
    <row r="15" spans="1:15" s="97" customFormat="1" ht="30.2" customHeight="1" thickBot="1" x14ac:dyDescent="0.25">
      <c r="B15" s="98" t="s">
        <v>137</v>
      </c>
      <c r="C15" s="1065">
        <v>24</v>
      </c>
      <c r="D15" s="1066" t="s">
        <v>880</v>
      </c>
      <c r="E15" s="1064">
        <v>41164</v>
      </c>
      <c r="F15" s="1566" t="s">
        <v>4</v>
      </c>
      <c r="G15" s="1567"/>
      <c r="H15" s="104" t="s">
        <v>4</v>
      </c>
      <c r="I15" s="105">
        <v>41893</v>
      </c>
      <c r="J15" s="99"/>
      <c r="K15" s="100"/>
      <c r="L15" s="101">
        <f>I15-L9</f>
        <v>444</v>
      </c>
      <c r="M15" s="102" t="s">
        <v>906</v>
      </c>
      <c r="N15" s="96" t="str">
        <f>IF(L:L&lt;=30,"ALERTA","")</f>
        <v/>
      </c>
      <c r="O15" s="96"/>
    </row>
    <row r="16" spans="1:15" s="97" customFormat="1" ht="15.75" x14ac:dyDescent="0.25">
      <c r="B16" s="891" t="s">
        <v>915</v>
      </c>
      <c r="C16" s="892"/>
      <c r="D16" s="893"/>
      <c r="E16" s="894"/>
      <c r="F16" s="895"/>
      <c r="G16" s="893"/>
      <c r="H16" s="896"/>
      <c r="I16" s="894"/>
      <c r="J16" s="897"/>
      <c r="K16" s="893"/>
      <c r="L16" s="897"/>
      <c r="M16" s="898"/>
    </row>
    <row r="17" spans="2:13" s="97" customFormat="1" ht="30.2" customHeight="1" x14ac:dyDescent="0.2">
      <c r="B17" s="103" t="s">
        <v>903</v>
      </c>
      <c r="C17" s="993" t="s">
        <v>904</v>
      </c>
      <c r="D17" s="110"/>
      <c r="E17" s="1524" t="s">
        <v>1389</v>
      </c>
      <c r="F17" s="1526"/>
      <c r="G17" s="1526"/>
      <c r="H17" s="1526"/>
      <c r="I17" s="1526"/>
      <c r="J17" s="1526"/>
      <c r="K17" s="1526"/>
      <c r="L17" s="1526"/>
      <c r="M17" s="1527"/>
    </row>
    <row r="18" spans="2:13" s="97" customFormat="1" ht="30.2" customHeight="1" thickBot="1" x14ac:dyDescent="0.25">
      <c r="B18" s="106" t="s">
        <v>886</v>
      </c>
      <c r="C18" s="994">
        <v>10</v>
      </c>
      <c r="D18" s="232" t="s">
        <v>885</v>
      </c>
      <c r="E18" s="1568" t="s">
        <v>1389</v>
      </c>
      <c r="F18" s="1569"/>
      <c r="G18" s="1569"/>
      <c r="H18" s="1569"/>
      <c r="I18" s="1569"/>
      <c r="J18" s="1569"/>
      <c r="K18" s="1569"/>
      <c r="L18" s="1569"/>
      <c r="M18" s="1570"/>
    </row>
    <row r="19" spans="2:13" s="581" customFormat="1" ht="30" customHeight="1" x14ac:dyDescent="0.2">
      <c r="B19" s="1121" t="s">
        <v>1182</v>
      </c>
      <c r="C19" s="603">
        <v>150</v>
      </c>
      <c r="D19" s="1148" t="s">
        <v>885</v>
      </c>
      <c r="E19" s="1211">
        <v>41418</v>
      </c>
      <c r="F19" s="1212">
        <v>1171.2</v>
      </c>
      <c r="G19" s="1148" t="s">
        <v>885</v>
      </c>
      <c r="H19" s="1217" t="s">
        <v>1415</v>
      </c>
      <c r="I19" s="1218"/>
      <c r="J19" s="1219">
        <f>F19+C19</f>
        <v>1321.2</v>
      </c>
      <c r="K19" s="1148" t="s">
        <v>885</v>
      </c>
      <c r="L19" s="1220">
        <f>J19-$C$7</f>
        <v>128.70000000000005</v>
      </c>
      <c r="M19" s="680" t="s">
        <v>885</v>
      </c>
    </row>
    <row r="20" spans="2:13" s="581" customFormat="1" ht="15.75" x14ac:dyDescent="0.2">
      <c r="B20" s="1487" t="s">
        <v>1183</v>
      </c>
      <c r="C20" s="601">
        <v>150</v>
      </c>
      <c r="D20" s="1028" t="s">
        <v>885</v>
      </c>
      <c r="E20" s="1489">
        <v>41418</v>
      </c>
      <c r="F20" s="1483">
        <v>1171.2</v>
      </c>
      <c r="G20" s="1485" t="s">
        <v>885</v>
      </c>
      <c r="H20" s="1479" t="s">
        <v>1415</v>
      </c>
      <c r="I20" s="1497">
        <f>E20+(365)</f>
        <v>41783</v>
      </c>
      <c r="J20" s="1509">
        <f>F20+C20</f>
        <v>1321.2</v>
      </c>
      <c r="K20" s="1485" t="s">
        <v>885</v>
      </c>
      <c r="L20" s="1221">
        <f>J20-$C$7</f>
        <v>128.70000000000005</v>
      </c>
      <c r="M20" s="638" t="s">
        <v>885</v>
      </c>
    </row>
    <row r="21" spans="2:13" s="581" customFormat="1" ht="15.75" x14ac:dyDescent="0.2">
      <c r="B21" s="1488"/>
      <c r="C21" s="603">
        <v>12</v>
      </c>
      <c r="D21" s="1148" t="s">
        <v>880</v>
      </c>
      <c r="E21" s="1490"/>
      <c r="F21" s="1484"/>
      <c r="G21" s="1486"/>
      <c r="H21" s="1480"/>
      <c r="I21" s="1498"/>
      <c r="J21" s="1510"/>
      <c r="K21" s="1486"/>
      <c r="L21" s="1222">
        <f>I20-$L$9</f>
        <v>334</v>
      </c>
      <c r="M21" s="680" t="s">
        <v>906</v>
      </c>
    </row>
    <row r="22" spans="2:13" s="581" customFormat="1" ht="30.2" customHeight="1" thickBot="1" x14ac:dyDescent="0.25">
      <c r="B22" s="1122" t="s">
        <v>905</v>
      </c>
      <c r="C22" s="1123">
        <v>12</v>
      </c>
      <c r="D22" s="632" t="s">
        <v>880</v>
      </c>
      <c r="E22" s="1216">
        <v>41418</v>
      </c>
      <c r="F22" s="631">
        <v>1171.2</v>
      </c>
      <c r="G22" s="632" t="s">
        <v>885</v>
      </c>
      <c r="H22" s="1223" t="s">
        <v>1415</v>
      </c>
      <c r="I22" s="633">
        <f>E22+(365)</f>
        <v>41783</v>
      </c>
      <c r="J22" s="634"/>
      <c r="K22" s="635"/>
      <c r="L22" s="636">
        <f>I22-$L$9</f>
        <v>334</v>
      </c>
      <c r="M22" s="637" t="s">
        <v>906</v>
      </c>
    </row>
    <row r="23" spans="2:13" s="581" customFormat="1" ht="30.2" customHeight="1" x14ac:dyDescent="0.2">
      <c r="B23" s="1121" t="s">
        <v>907</v>
      </c>
      <c r="C23" s="603">
        <v>600</v>
      </c>
      <c r="D23" s="1148" t="s">
        <v>885</v>
      </c>
      <c r="E23" s="1211">
        <v>41418</v>
      </c>
      <c r="F23" s="1212">
        <v>1171.2</v>
      </c>
      <c r="G23" s="1148" t="s">
        <v>885</v>
      </c>
      <c r="H23" s="1217" t="s">
        <v>1415</v>
      </c>
      <c r="I23" s="596"/>
      <c r="J23" s="1219">
        <f>F23+C23</f>
        <v>1771.2</v>
      </c>
      <c r="K23" s="1148" t="s">
        <v>885</v>
      </c>
      <c r="L23" s="1220">
        <f>J23-$C$7</f>
        <v>578.70000000000005</v>
      </c>
      <c r="M23" s="680" t="s">
        <v>885</v>
      </c>
    </row>
    <row r="24" spans="2:13" s="581" customFormat="1" ht="15.75" x14ac:dyDescent="0.2">
      <c r="B24" s="1487" t="s">
        <v>908</v>
      </c>
      <c r="C24" s="601">
        <v>600</v>
      </c>
      <c r="D24" s="1028" t="s">
        <v>885</v>
      </c>
      <c r="E24" s="1489">
        <v>41418</v>
      </c>
      <c r="F24" s="1483">
        <v>1171.2</v>
      </c>
      <c r="G24" s="1485" t="s">
        <v>885</v>
      </c>
      <c r="H24" s="1479" t="s">
        <v>1415</v>
      </c>
      <c r="I24" s="1497">
        <f>E24+(730)</f>
        <v>42148</v>
      </c>
      <c r="J24" s="1509">
        <f>F24+C24</f>
        <v>1771.2</v>
      </c>
      <c r="K24" s="1485" t="s">
        <v>885</v>
      </c>
      <c r="L24" s="1221">
        <f>J24-$C$7</f>
        <v>578.70000000000005</v>
      </c>
      <c r="M24" s="638" t="s">
        <v>885</v>
      </c>
    </row>
    <row r="25" spans="2:13" s="581" customFormat="1" ht="15.75" x14ac:dyDescent="0.2">
      <c r="B25" s="1488"/>
      <c r="C25" s="603">
        <v>24</v>
      </c>
      <c r="D25" s="1148" t="s">
        <v>880</v>
      </c>
      <c r="E25" s="1490"/>
      <c r="F25" s="1484"/>
      <c r="G25" s="1486"/>
      <c r="H25" s="1480"/>
      <c r="I25" s="1498"/>
      <c r="J25" s="1510"/>
      <c r="K25" s="1486"/>
      <c r="L25" s="1222">
        <f>I24-$L$9</f>
        <v>699</v>
      </c>
      <c r="M25" s="680" t="s">
        <v>906</v>
      </c>
    </row>
    <row r="26" spans="2:13" s="581" customFormat="1" ht="30.2" customHeight="1" thickBot="1" x14ac:dyDescent="0.25">
      <c r="B26" s="1122" t="s">
        <v>1408</v>
      </c>
      <c r="C26" s="1123">
        <v>24</v>
      </c>
      <c r="D26" s="632" t="s">
        <v>880</v>
      </c>
      <c r="E26" s="1216">
        <v>41415</v>
      </c>
      <c r="F26" s="631">
        <v>1171.2</v>
      </c>
      <c r="G26" s="632" t="s">
        <v>885</v>
      </c>
      <c r="H26" s="1223" t="s">
        <v>1415</v>
      </c>
      <c r="I26" s="633">
        <f>E26+(730)</f>
        <v>42145</v>
      </c>
      <c r="J26" s="634"/>
      <c r="K26" s="635"/>
      <c r="L26" s="636">
        <f>I26-$L$9</f>
        <v>696</v>
      </c>
      <c r="M26" s="637" t="s">
        <v>906</v>
      </c>
    </row>
    <row r="27" spans="2:13" s="97" customFormat="1" ht="30.2" customHeight="1" x14ac:dyDescent="0.2">
      <c r="B27" s="98" t="s">
        <v>909</v>
      </c>
      <c r="C27" s="111">
        <v>1200</v>
      </c>
      <c r="D27" s="112" t="s">
        <v>885</v>
      </c>
      <c r="E27" s="995">
        <v>40667</v>
      </c>
      <c r="F27" s="811">
        <v>692.25</v>
      </c>
      <c r="G27" s="812" t="s">
        <v>885</v>
      </c>
      <c r="H27" s="625" t="s">
        <v>1184</v>
      </c>
      <c r="I27" s="116"/>
      <c r="J27" s="630">
        <f>F27+C27</f>
        <v>1892.25</v>
      </c>
      <c r="K27" s="115" t="s">
        <v>885</v>
      </c>
      <c r="L27" s="629">
        <f>J27-$C$7</f>
        <v>699.75</v>
      </c>
      <c r="M27" s="626" t="s">
        <v>885</v>
      </c>
    </row>
    <row r="28" spans="2:13" s="97" customFormat="1" ht="15.75" x14ac:dyDescent="0.2">
      <c r="B28" s="1495" t="s">
        <v>910</v>
      </c>
      <c r="C28" s="119">
        <v>1200</v>
      </c>
      <c r="D28" s="117" t="s">
        <v>885</v>
      </c>
      <c r="E28" s="1528">
        <v>40667</v>
      </c>
      <c r="F28" s="1530">
        <v>692.25</v>
      </c>
      <c r="G28" s="1532" t="s">
        <v>885</v>
      </c>
      <c r="H28" s="1534" t="s">
        <v>1184</v>
      </c>
      <c r="I28" s="1491">
        <f>E28+(365*4)</f>
        <v>42127</v>
      </c>
      <c r="J28" s="1511">
        <f>F28+C28</f>
        <v>1892.25</v>
      </c>
      <c r="K28" s="1532" t="s">
        <v>885</v>
      </c>
      <c r="L28" s="628">
        <f>J28-$C$7</f>
        <v>699.75</v>
      </c>
      <c r="M28" s="118" t="s">
        <v>885</v>
      </c>
    </row>
    <row r="29" spans="2:13" s="97" customFormat="1" ht="15.75" x14ac:dyDescent="0.2">
      <c r="B29" s="1496"/>
      <c r="C29" s="111">
        <v>48</v>
      </c>
      <c r="D29" s="112" t="s">
        <v>880</v>
      </c>
      <c r="E29" s="1529"/>
      <c r="F29" s="1531"/>
      <c r="G29" s="1533"/>
      <c r="H29" s="1535"/>
      <c r="I29" s="1492"/>
      <c r="J29" s="1512"/>
      <c r="K29" s="1533"/>
      <c r="L29" s="627">
        <f>I28-$L$9</f>
        <v>678</v>
      </c>
      <c r="M29" s="626" t="s">
        <v>906</v>
      </c>
    </row>
    <row r="30" spans="2:13" s="97" customFormat="1" ht="30.2" customHeight="1" thickBot="1" x14ac:dyDescent="0.25">
      <c r="B30" s="106" t="s">
        <v>911</v>
      </c>
      <c r="C30" s="611">
        <v>48</v>
      </c>
      <c r="D30" s="612" t="s">
        <v>880</v>
      </c>
      <c r="E30" s="996">
        <v>40667</v>
      </c>
      <c r="F30" s="631">
        <v>692.3</v>
      </c>
      <c r="G30" s="632" t="s">
        <v>885</v>
      </c>
      <c r="H30" s="221" t="s">
        <v>1184</v>
      </c>
      <c r="I30" s="633">
        <f>E30+(365*4)</f>
        <v>42127</v>
      </c>
      <c r="J30" s="634"/>
      <c r="K30" s="635"/>
      <c r="L30" s="636">
        <f>I30-$L$9</f>
        <v>678</v>
      </c>
      <c r="M30" s="637" t="s">
        <v>906</v>
      </c>
    </row>
    <row r="31" spans="2:13" s="97" customFormat="1" ht="30.2" customHeight="1" x14ac:dyDescent="0.2">
      <c r="B31" s="98" t="s">
        <v>912</v>
      </c>
      <c r="C31" s="111">
        <v>5000</v>
      </c>
      <c r="D31" s="112" t="s">
        <v>885</v>
      </c>
      <c r="E31" s="995">
        <v>39289</v>
      </c>
      <c r="F31" s="620">
        <v>0</v>
      </c>
      <c r="G31" s="115" t="s">
        <v>885</v>
      </c>
      <c r="H31" s="625" t="s">
        <v>1185</v>
      </c>
      <c r="I31" s="116"/>
      <c r="J31" s="630">
        <f>C31+F31</f>
        <v>5000</v>
      </c>
      <c r="K31" s="115" t="s">
        <v>885</v>
      </c>
      <c r="L31" s="629">
        <f>J31-$C$7</f>
        <v>3807.5</v>
      </c>
      <c r="M31" s="626" t="s">
        <v>885</v>
      </c>
    </row>
    <row r="32" spans="2:13" s="97" customFormat="1" ht="15.75" x14ac:dyDescent="0.2">
      <c r="B32" s="1495" t="s">
        <v>913</v>
      </c>
      <c r="C32" s="119">
        <v>5000</v>
      </c>
      <c r="D32" s="117" t="s">
        <v>885</v>
      </c>
      <c r="E32" s="1528">
        <v>39289</v>
      </c>
      <c r="F32" s="1530">
        <v>0</v>
      </c>
      <c r="G32" s="1532" t="s">
        <v>885</v>
      </c>
      <c r="H32" s="1534" t="s">
        <v>1185</v>
      </c>
      <c r="I32" s="1491">
        <f>E32+(365*12)</f>
        <v>43669</v>
      </c>
      <c r="J32" s="1511">
        <f>F32+C32</f>
        <v>5000</v>
      </c>
      <c r="K32" s="1532" t="s">
        <v>885</v>
      </c>
      <c r="L32" s="628">
        <f>J32-$C$7</f>
        <v>3807.5</v>
      </c>
      <c r="M32" s="118" t="s">
        <v>885</v>
      </c>
    </row>
    <row r="33" spans="2:16" s="97" customFormat="1" ht="15.75" x14ac:dyDescent="0.2">
      <c r="B33" s="1496"/>
      <c r="C33" s="111">
        <v>144</v>
      </c>
      <c r="D33" s="112" t="s">
        <v>880</v>
      </c>
      <c r="E33" s="1529"/>
      <c r="F33" s="1531"/>
      <c r="G33" s="1533"/>
      <c r="H33" s="1535"/>
      <c r="I33" s="1492"/>
      <c r="J33" s="1512"/>
      <c r="K33" s="1533"/>
      <c r="L33" s="627">
        <f>I32-$L$9</f>
        <v>2220</v>
      </c>
      <c r="M33" s="626" t="s">
        <v>906</v>
      </c>
    </row>
    <row r="34" spans="2:16" s="97" customFormat="1" ht="30.2" customHeight="1" thickBot="1" x14ac:dyDescent="0.25">
      <c r="B34" s="106" t="s">
        <v>914</v>
      </c>
      <c r="C34" s="611">
        <v>144</v>
      </c>
      <c r="D34" s="612" t="s">
        <v>880</v>
      </c>
      <c r="E34" s="996">
        <v>39289</v>
      </c>
      <c r="F34" s="631">
        <v>0</v>
      </c>
      <c r="G34" s="632" t="s">
        <v>885</v>
      </c>
      <c r="H34" s="221" t="s">
        <v>1185</v>
      </c>
      <c r="I34" s="633">
        <f>E34+(365*12)</f>
        <v>43669</v>
      </c>
      <c r="J34" s="634"/>
      <c r="K34" s="635"/>
      <c r="L34" s="636">
        <f>I34-$L$9</f>
        <v>2220</v>
      </c>
      <c r="M34" s="637" t="s">
        <v>906</v>
      </c>
      <c r="P34" s="97">
        <f>144/12</f>
        <v>12</v>
      </c>
    </row>
    <row r="35" spans="2:16" s="97" customFormat="1" ht="15.75" x14ac:dyDescent="0.25">
      <c r="B35" s="891" t="s">
        <v>916</v>
      </c>
      <c r="C35" s="892"/>
      <c r="D35" s="893"/>
      <c r="E35" s="894"/>
      <c r="F35" s="895"/>
      <c r="G35" s="893"/>
      <c r="H35" s="896"/>
      <c r="I35" s="894"/>
      <c r="J35" s="897"/>
      <c r="K35" s="893"/>
      <c r="L35" s="897"/>
      <c r="M35" s="898"/>
    </row>
    <row r="36" spans="2:16" s="581" customFormat="1" ht="30.2" customHeight="1" x14ac:dyDescent="0.2">
      <c r="B36" s="1121" t="s">
        <v>887</v>
      </c>
      <c r="C36" s="603">
        <v>25</v>
      </c>
      <c r="D36" s="1029" t="s">
        <v>885</v>
      </c>
      <c r="E36" s="1558" t="s">
        <v>1389</v>
      </c>
      <c r="F36" s="1559"/>
      <c r="G36" s="1559"/>
      <c r="H36" s="1559"/>
      <c r="I36" s="1559"/>
      <c r="J36" s="1559"/>
      <c r="K36" s="1559"/>
      <c r="L36" s="1559"/>
      <c r="M36" s="1560"/>
    </row>
    <row r="37" spans="2:16" s="581" customFormat="1" ht="30.2" customHeight="1" x14ac:dyDescent="0.2">
      <c r="B37" s="1121" t="s">
        <v>888</v>
      </c>
      <c r="C37" s="603">
        <v>100</v>
      </c>
      <c r="D37" s="1148" t="s">
        <v>885</v>
      </c>
      <c r="E37" s="1002">
        <v>41418</v>
      </c>
      <c r="F37" s="1076">
        <v>1171.2</v>
      </c>
      <c r="G37" s="1213" t="s">
        <v>885</v>
      </c>
      <c r="H37" s="1098" t="s">
        <v>1415</v>
      </c>
      <c r="I37" s="596"/>
      <c r="J37" s="1224">
        <f>F37+C37</f>
        <v>1271.2</v>
      </c>
      <c r="K37" s="1225" t="s">
        <v>885</v>
      </c>
      <c r="L37" s="1226">
        <f>J37-$C$7</f>
        <v>78.700000000000045</v>
      </c>
      <c r="M37" s="1227" t="s">
        <v>885</v>
      </c>
      <c r="N37" s="840"/>
      <c r="O37" s="840"/>
    </row>
    <row r="38" spans="2:16" s="581" customFormat="1" ht="20.100000000000001" customHeight="1" x14ac:dyDescent="0.2">
      <c r="B38" s="1487" t="s">
        <v>1266</v>
      </c>
      <c r="C38" s="1099">
        <v>100</v>
      </c>
      <c r="D38" s="1100" t="s">
        <v>885</v>
      </c>
      <c r="E38" s="1489">
        <v>41418</v>
      </c>
      <c r="F38" s="1483">
        <v>1171.2</v>
      </c>
      <c r="G38" s="1477" t="s">
        <v>885</v>
      </c>
      <c r="H38" s="1479" t="s">
        <v>1415</v>
      </c>
      <c r="I38" s="1497">
        <f>E38+(365/2)</f>
        <v>41600.5</v>
      </c>
      <c r="J38" s="1481">
        <f>F38+C38</f>
        <v>1271.2</v>
      </c>
      <c r="K38" s="1477" t="s">
        <v>885</v>
      </c>
      <c r="L38" s="1124">
        <f>J38-$C$7</f>
        <v>78.700000000000045</v>
      </c>
      <c r="M38" s="638" t="s">
        <v>885</v>
      </c>
      <c r="N38" s="840" t="str">
        <f>IF(L:L&lt;=30,"ALERTA","")</f>
        <v/>
      </c>
      <c r="O38" s="840"/>
    </row>
    <row r="39" spans="2:16" s="581" customFormat="1" ht="20.100000000000001" customHeight="1" x14ac:dyDescent="0.2">
      <c r="B39" s="1488"/>
      <c r="C39" s="1101">
        <v>6</v>
      </c>
      <c r="D39" s="1102" t="s">
        <v>880</v>
      </c>
      <c r="E39" s="1490"/>
      <c r="F39" s="1484"/>
      <c r="G39" s="1478"/>
      <c r="H39" s="1480"/>
      <c r="I39" s="1498"/>
      <c r="J39" s="1482"/>
      <c r="K39" s="1478"/>
      <c r="L39" s="1125">
        <f>I38-$L$9</f>
        <v>151.5</v>
      </c>
      <c r="M39" s="680" t="s">
        <v>906</v>
      </c>
      <c r="N39" s="840" t="str">
        <f>IF(L:L&lt;=30,"ALERTA","")</f>
        <v/>
      </c>
      <c r="O39" s="840"/>
    </row>
    <row r="40" spans="2:16" s="581" customFormat="1" ht="20.100000000000001" customHeight="1" x14ac:dyDescent="0.2">
      <c r="B40" s="1487" t="s">
        <v>1267</v>
      </c>
      <c r="C40" s="1099">
        <v>100</v>
      </c>
      <c r="D40" s="1100" t="s">
        <v>885</v>
      </c>
      <c r="E40" s="1489">
        <v>41418</v>
      </c>
      <c r="F40" s="1571">
        <v>1171.2</v>
      </c>
      <c r="G40" s="1572"/>
      <c r="H40" s="1479" t="s">
        <v>1415</v>
      </c>
      <c r="I40" s="1497">
        <f>E40+(365)</f>
        <v>41783</v>
      </c>
      <c r="J40" s="1481">
        <f>F40+C40</f>
        <v>1271.2</v>
      </c>
      <c r="K40" s="1477" t="s">
        <v>885</v>
      </c>
      <c r="L40" s="1124">
        <f>J40-$C$7</f>
        <v>78.700000000000045</v>
      </c>
      <c r="M40" s="638" t="s">
        <v>885</v>
      </c>
      <c r="N40" s="840"/>
      <c r="O40" s="840"/>
    </row>
    <row r="41" spans="2:16" s="581" customFormat="1" ht="20.100000000000001" customHeight="1" x14ac:dyDescent="0.2">
      <c r="B41" s="1488"/>
      <c r="C41" s="1101">
        <v>12</v>
      </c>
      <c r="D41" s="1102" t="s">
        <v>880</v>
      </c>
      <c r="E41" s="1490"/>
      <c r="F41" s="1573"/>
      <c r="G41" s="1574"/>
      <c r="H41" s="1480"/>
      <c r="I41" s="1498"/>
      <c r="J41" s="1482"/>
      <c r="K41" s="1478"/>
      <c r="L41" s="1125">
        <f>I40-$L$9</f>
        <v>334</v>
      </c>
      <c r="M41" s="680" t="s">
        <v>906</v>
      </c>
      <c r="N41" s="840"/>
      <c r="O41" s="840"/>
    </row>
    <row r="42" spans="2:16" s="581" customFormat="1" ht="20.100000000000001" customHeight="1" x14ac:dyDescent="0.2">
      <c r="B42" s="1487" t="s">
        <v>1268</v>
      </c>
      <c r="C42" s="1099">
        <v>150</v>
      </c>
      <c r="D42" s="1100" t="s">
        <v>885</v>
      </c>
      <c r="E42" s="1489">
        <v>41418</v>
      </c>
      <c r="F42" s="1483">
        <v>1171.2</v>
      </c>
      <c r="G42" s="1477" t="s">
        <v>885</v>
      </c>
      <c r="H42" s="1479" t="s">
        <v>1415</v>
      </c>
      <c r="I42" s="1497">
        <f>E42+(365/4)-6</f>
        <v>41503.25</v>
      </c>
      <c r="J42" s="1481">
        <f>F42+C42</f>
        <v>1321.2</v>
      </c>
      <c r="K42" s="1477" t="s">
        <v>885</v>
      </c>
      <c r="L42" s="1124">
        <f>J42-$C$7</f>
        <v>128.70000000000005</v>
      </c>
      <c r="M42" s="638" t="s">
        <v>885</v>
      </c>
      <c r="N42" s="840"/>
      <c r="O42" s="840"/>
    </row>
    <row r="43" spans="2:16" s="581" customFormat="1" ht="20.100000000000001" customHeight="1" x14ac:dyDescent="0.2">
      <c r="B43" s="1488"/>
      <c r="C43" s="1101">
        <v>3</v>
      </c>
      <c r="D43" s="1102" t="s">
        <v>880</v>
      </c>
      <c r="E43" s="1490"/>
      <c r="F43" s="1484"/>
      <c r="G43" s="1478"/>
      <c r="H43" s="1480"/>
      <c r="I43" s="1498"/>
      <c r="J43" s="1482"/>
      <c r="K43" s="1478"/>
      <c r="L43" s="1125">
        <f>I42-$L$9</f>
        <v>54.25</v>
      </c>
      <c r="M43" s="680" t="s">
        <v>906</v>
      </c>
      <c r="N43" s="840"/>
      <c r="O43" s="840"/>
    </row>
    <row r="44" spans="2:16" s="581" customFormat="1" ht="20.100000000000001" customHeight="1" x14ac:dyDescent="0.2">
      <c r="B44" s="1487" t="s">
        <v>1269</v>
      </c>
      <c r="C44" s="1099">
        <v>150</v>
      </c>
      <c r="D44" s="1100" t="s">
        <v>885</v>
      </c>
      <c r="E44" s="1489">
        <v>41418</v>
      </c>
      <c r="F44" s="1483">
        <v>1171.2</v>
      </c>
      <c r="G44" s="1477" t="s">
        <v>885</v>
      </c>
      <c r="H44" s="1479" t="s">
        <v>1415</v>
      </c>
      <c r="I44" s="1497">
        <f>E44+(365/2)</f>
        <v>41600.5</v>
      </c>
      <c r="J44" s="1481">
        <f>F44+C44</f>
        <v>1321.2</v>
      </c>
      <c r="K44" s="1477" t="s">
        <v>885</v>
      </c>
      <c r="L44" s="1124">
        <f>J44-$C$7</f>
        <v>128.70000000000005</v>
      </c>
      <c r="M44" s="638" t="s">
        <v>885</v>
      </c>
      <c r="N44" s="840"/>
      <c r="O44" s="840"/>
    </row>
    <row r="45" spans="2:16" s="581" customFormat="1" ht="20.100000000000001" customHeight="1" x14ac:dyDescent="0.2">
      <c r="B45" s="1488"/>
      <c r="C45" s="1101">
        <v>6</v>
      </c>
      <c r="D45" s="1102" t="s">
        <v>880</v>
      </c>
      <c r="E45" s="1490"/>
      <c r="F45" s="1484"/>
      <c r="G45" s="1478"/>
      <c r="H45" s="1480"/>
      <c r="I45" s="1498"/>
      <c r="J45" s="1482"/>
      <c r="K45" s="1478"/>
      <c r="L45" s="1125">
        <f>I44-$L$9</f>
        <v>151.5</v>
      </c>
      <c r="M45" s="680" t="s">
        <v>906</v>
      </c>
      <c r="N45" s="840"/>
      <c r="O45" s="840"/>
    </row>
    <row r="46" spans="2:16" s="581" customFormat="1" ht="30.2" customHeight="1" x14ac:dyDescent="0.2">
      <c r="B46" s="1083" t="s">
        <v>926</v>
      </c>
      <c r="C46" s="593">
        <v>200</v>
      </c>
      <c r="D46" s="582" t="s">
        <v>885</v>
      </c>
      <c r="E46" s="1243">
        <v>41418</v>
      </c>
      <c r="F46" s="1076">
        <v>1171.2</v>
      </c>
      <c r="G46" s="598" t="s">
        <v>885</v>
      </c>
      <c r="H46" s="1098" t="s">
        <v>1415</v>
      </c>
      <c r="I46" s="596"/>
      <c r="J46" s="1129">
        <f>F46+C46</f>
        <v>1371.2</v>
      </c>
      <c r="K46" s="582" t="s">
        <v>885</v>
      </c>
      <c r="L46" s="1230">
        <f>J46-$C$7</f>
        <v>178.70000000000005</v>
      </c>
      <c r="M46" s="600" t="s">
        <v>885</v>
      </c>
      <c r="N46" s="840" t="str">
        <f>IF(L:L&lt;=30,"ALERTA","")</f>
        <v/>
      </c>
      <c r="O46" s="840"/>
    </row>
    <row r="47" spans="2:16" s="97" customFormat="1" ht="30.2" customHeight="1" x14ac:dyDescent="0.2">
      <c r="B47" s="103" t="s">
        <v>925</v>
      </c>
      <c r="C47" s="107">
        <v>300</v>
      </c>
      <c r="D47" s="108" t="s">
        <v>885</v>
      </c>
      <c r="E47" s="652" t="s">
        <v>1212</v>
      </c>
      <c r="F47" s="109"/>
      <c r="G47" s="822"/>
      <c r="H47" s="104"/>
      <c r="I47" s="116"/>
      <c r="J47" s="1304"/>
      <c r="K47" s="108"/>
      <c r="L47" s="1059"/>
      <c r="M47" s="1305"/>
      <c r="N47" s="96"/>
      <c r="O47" s="96"/>
    </row>
    <row r="48" spans="2:16" s="581" customFormat="1" ht="20.100000000000001" customHeight="1" x14ac:dyDescent="0.2">
      <c r="B48" s="1475" t="s">
        <v>1270</v>
      </c>
      <c r="C48" s="1099">
        <v>500</v>
      </c>
      <c r="D48" s="1100" t="s">
        <v>885</v>
      </c>
      <c r="E48" s="1489">
        <v>41418</v>
      </c>
      <c r="F48" s="1483">
        <v>1171.2</v>
      </c>
      <c r="G48" s="1477" t="s">
        <v>885</v>
      </c>
      <c r="H48" s="1479" t="s">
        <v>1415</v>
      </c>
      <c r="I48" s="1497">
        <f>E48+(365*2)</f>
        <v>42148</v>
      </c>
      <c r="J48" s="1481">
        <f>F48+C48</f>
        <v>1671.2</v>
      </c>
      <c r="K48" s="1477" t="s">
        <v>885</v>
      </c>
      <c r="L48" s="1124">
        <f>J48-$C$7</f>
        <v>478.70000000000005</v>
      </c>
      <c r="M48" s="638" t="s">
        <v>885</v>
      </c>
      <c r="N48" s="840" t="str">
        <f>IF(L:L&lt;=30,"ALERTA","")</f>
        <v/>
      </c>
      <c r="O48" s="840"/>
    </row>
    <row r="49" spans="2:15" s="581" customFormat="1" ht="20.100000000000001" customHeight="1" x14ac:dyDescent="0.2">
      <c r="B49" s="1476"/>
      <c r="C49" s="1101">
        <v>24</v>
      </c>
      <c r="D49" s="1102" t="s">
        <v>880</v>
      </c>
      <c r="E49" s="1490"/>
      <c r="F49" s="1484"/>
      <c r="G49" s="1478"/>
      <c r="H49" s="1480"/>
      <c r="I49" s="1498"/>
      <c r="J49" s="1482"/>
      <c r="K49" s="1478"/>
      <c r="L49" s="1125">
        <f>I48-$L$9-21</f>
        <v>678</v>
      </c>
      <c r="M49" s="680" t="s">
        <v>906</v>
      </c>
      <c r="N49" s="1499" t="str">
        <f>IF(L:L&lt;=50,"ALERTA","")</f>
        <v/>
      </c>
      <c r="O49" s="1500"/>
    </row>
    <row r="50" spans="2:15" s="581" customFormat="1" ht="20.100000000000001" customHeight="1" x14ac:dyDescent="0.2">
      <c r="B50" s="1487" t="s">
        <v>1271</v>
      </c>
      <c r="C50" s="1099">
        <v>600</v>
      </c>
      <c r="D50" s="1100" t="s">
        <v>885</v>
      </c>
      <c r="E50" s="1489">
        <v>41418</v>
      </c>
      <c r="F50" s="1483">
        <v>1171.2</v>
      </c>
      <c r="G50" s="1477" t="s">
        <v>885</v>
      </c>
      <c r="H50" s="1479" t="s">
        <v>1415</v>
      </c>
      <c r="I50" s="1497">
        <f>E50+(365/2)</f>
        <v>41600.5</v>
      </c>
      <c r="J50" s="1481">
        <f>F50+C50</f>
        <v>1771.2</v>
      </c>
      <c r="K50" s="1477" t="s">
        <v>885</v>
      </c>
      <c r="L50" s="1124">
        <f>J50-$C$7</f>
        <v>578.70000000000005</v>
      </c>
      <c r="M50" s="638" t="s">
        <v>885</v>
      </c>
      <c r="N50" s="840" t="str">
        <f>IF(L:L&lt;=100,"ALERTA","")</f>
        <v/>
      </c>
      <c r="O50" s="840"/>
    </row>
    <row r="51" spans="2:15" s="581" customFormat="1" ht="20.100000000000001" customHeight="1" x14ac:dyDescent="0.2">
      <c r="B51" s="1488"/>
      <c r="C51" s="1101">
        <v>6</v>
      </c>
      <c r="D51" s="1102" t="s">
        <v>880</v>
      </c>
      <c r="E51" s="1490"/>
      <c r="F51" s="1484"/>
      <c r="G51" s="1478"/>
      <c r="H51" s="1480"/>
      <c r="I51" s="1498"/>
      <c r="J51" s="1482"/>
      <c r="K51" s="1478"/>
      <c r="L51" s="1125">
        <f>I50-$L$9</f>
        <v>151.5</v>
      </c>
      <c r="M51" s="680" t="s">
        <v>906</v>
      </c>
      <c r="N51" s="840" t="str">
        <f>IF(L:L&lt;=30,"ALERTA","")</f>
        <v/>
      </c>
      <c r="O51" s="840"/>
    </row>
    <row r="52" spans="2:15" s="581" customFormat="1" ht="20.100000000000001" customHeight="1" x14ac:dyDescent="0.2">
      <c r="B52" s="1475" t="s">
        <v>1272</v>
      </c>
      <c r="C52" s="1099">
        <v>1200</v>
      </c>
      <c r="D52" s="1100" t="s">
        <v>885</v>
      </c>
      <c r="E52" s="1489">
        <v>41418</v>
      </c>
      <c r="F52" s="1483">
        <v>1171.2</v>
      </c>
      <c r="G52" s="1485" t="s">
        <v>885</v>
      </c>
      <c r="H52" s="1479" t="s">
        <v>1415</v>
      </c>
      <c r="I52" s="1497">
        <f>E52+(365*2)-21</f>
        <v>42127</v>
      </c>
      <c r="J52" s="1481">
        <f>F52+C52</f>
        <v>2371.1999999999998</v>
      </c>
      <c r="K52" s="1477" t="s">
        <v>885</v>
      </c>
      <c r="L52" s="1124">
        <f>J52-$C$7</f>
        <v>1178.6999999999998</v>
      </c>
      <c r="M52" s="638" t="s">
        <v>885</v>
      </c>
      <c r="N52" s="840" t="str">
        <f>IF(L:L&lt;=30,"ALERTA","")</f>
        <v/>
      </c>
      <c r="O52" s="840"/>
    </row>
    <row r="53" spans="2:15" s="581" customFormat="1" ht="20.100000000000001" customHeight="1" x14ac:dyDescent="0.2">
      <c r="B53" s="1476"/>
      <c r="C53" s="1101">
        <v>24</v>
      </c>
      <c r="D53" s="1102" t="s">
        <v>880</v>
      </c>
      <c r="E53" s="1490"/>
      <c r="F53" s="1484"/>
      <c r="G53" s="1486"/>
      <c r="H53" s="1480"/>
      <c r="I53" s="1498"/>
      <c r="J53" s="1482"/>
      <c r="K53" s="1478"/>
      <c r="L53" s="1125">
        <f>I52-$L$9</f>
        <v>678</v>
      </c>
      <c r="M53" s="680" t="s">
        <v>906</v>
      </c>
      <c r="N53" s="1501" t="str">
        <f>IF(L:L&lt;=30,"ALERTA","")</f>
        <v/>
      </c>
      <c r="O53" s="1502"/>
    </row>
    <row r="54" spans="2:15" s="581" customFormat="1" ht="30" customHeight="1" x14ac:dyDescent="0.2">
      <c r="B54" s="1083" t="s">
        <v>1186</v>
      </c>
      <c r="C54" s="593">
        <v>1800</v>
      </c>
      <c r="D54" s="1126" t="s">
        <v>885</v>
      </c>
      <c r="E54" s="998">
        <v>39289</v>
      </c>
      <c r="F54" s="1117">
        <v>0</v>
      </c>
      <c r="G54" s="598" t="s">
        <v>885</v>
      </c>
      <c r="H54" s="595" t="s">
        <v>1185</v>
      </c>
      <c r="I54" s="596"/>
      <c r="J54" s="597">
        <f>F54+C54</f>
        <v>1800</v>
      </c>
      <c r="K54" s="598" t="s">
        <v>885</v>
      </c>
      <c r="L54" s="599">
        <f>J54-$C$7</f>
        <v>607.5</v>
      </c>
      <c r="M54" s="600" t="s">
        <v>885</v>
      </c>
      <c r="N54" s="840"/>
      <c r="O54" s="840"/>
    </row>
    <row r="55" spans="2:15" s="581" customFormat="1" ht="20.100000000000001" customHeight="1" x14ac:dyDescent="0.2">
      <c r="B55" s="1487" t="s">
        <v>1273</v>
      </c>
      <c r="C55" s="1099">
        <v>2000</v>
      </c>
      <c r="D55" s="1100" t="s">
        <v>885</v>
      </c>
      <c r="E55" s="1489">
        <v>39289</v>
      </c>
      <c r="F55" s="1483">
        <v>0</v>
      </c>
      <c r="G55" s="1477" t="s">
        <v>885</v>
      </c>
      <c r="H55" s="1479" t="s">
        <v>1185</v>
      </c>
      <c r="I55" s="1491">
        <f>E55+(365*6)+180</f>
        <v>41659</v>
      </c>
      <c r="J55" s="1493">
        <f>F55+C55+200</f>
        <v>2200</v>
      </c>
      <c r="K55" s="1507" t="s">
        <v>885</v>
      </c>
      <c r="L55" s="1124">
        <f>J55-$C$7</f>
        <v>1007.5</v>
      </c>
      <c r="M55" s="638" t="s">
        <v>885</v>
      </c>
      <c r="N55" s="840" t="str">
        <f t="shared" ref="N55:N62" si="0">IF(L:L&lt;=30,"ALERTA","")</f>
        <v/>
      </c>
      <c r="O55" s="840"/>
    </row>
    <row r="56" spans="2:15" s="581" customFormat="1" ht="20.100000000000001" customHeight="1" x14ac:dyDescent="0.2">
      <c r="B56" s="1488"/>
      <c r="C56" s="1101">
        <v>72</v>
      </c>
      <c r="D56" s="1102" t="s">
        <v>880</v>
      </c>
      <c r="E56" s="1490"/>
      <c r="F56" s="1484"/>
      <c r="G56" s="1478"/>
      <c r="H56" s="1480"/>
      <c r="I56" s="1492"/>
      <c r="J56" s="1494"/>
      <c r="K56" s="1508"/>
      <c r="L56" s="1125">
        <f>I55-$L$9</f>
        <v>210</v>
      </c>
      <c r="M56" s="680" t="s">
        <v>906</v>
      </c>
      <c r="N56" s="840" t="str">
        <f t="shared" si="0"/>
        <v/>
      </c>
      <c r="O56" s="840"/>
    </row>
    <row r="57" spans="2:15" s="581" customFormat="1" ht="20.100000000000001" customHeight="1" x14ac:dyDescent="0.2">
      <c r="B57" s="1487" t="s">
        <v>1274</v>
      </c>
      <c r="C57" s="1099">
        <v>2400</v>
      </c>
      <c r="D57" s="1100" t="s">
        <v>885</v>
      </c>
      <c r="E57" s="1489">
        <v>39289</v>
      </c>
      <c r="F57" s="1483">
        <v>0</v>
      </c>
      <c r="G57" s="1477" t="s">
        <v>885</v>
      </c>
      <c r="H57" s="1479" t="s">
        <v>1185</v>
      </c>
      <c r="I57" s="1491">
        <f>E57+(365*6)+180</f>
        <v>41659</v>
      </c>
      <c r="J57" s="1493">
        <f>F57+C57+240</f>
        <v>2640</v>
      </c>
      <c r="K57" s="1507" t="s">
        <v>885</v>
      </c>
      <c r="L57" s="1124">
        <f>J57-$C$7</f>
        <v>1447.5</v>
      </c>
      <c r="M57" s="638" t="s">
        <v>885</v>
      </c>
      <c r="N57" s="840" t="str">
        <f t="shared" si="0"/>
        <v/>
      </c>
      <c r="O57" s="840"/>
    </row>
    <row r="58" spans="2:15" s="581" customFormat="1" ht="20.100000000000001" customHeight="1" x14ac:dyDescent="0.2">
      <c r="B58" s="1488"/>
      <c r="C58" s="1101">
        <v>72</v>
      </c>
      <c r="D58" s="1102" t="s">
        <v>880</v>
      </c>
      <c r="E58" s="1490"/>
      <c r="F58" s="1484"/>
      <c r="G58" s="1478"/>
      <c r="H58" s="1480"/>
      <c r="I58" s="1492"/>
      <c r="J58" s="1494"/>
      <c r="K58" s="1508"/>
      <c r="L58" s="1125">
        <f>I57-$L$9</f>
        <v>210</v>
      </c>
      <c r="M58" s="680" t="s">
        <v>906</v>
      </c>
      <c r="N58" s="840" t="str">
        <f t="shared" si="0"/>
        <v/>
      </c>
      <c r="O58" s="840"/>
    </row>
    <row r="59" spans="2:15" s="581" customFormat="1" ht="20.100000000000001" customHeight="1" x14ac:dyDescent="0.2">
      <c r="B59" s="1487" t="s">
        <v>1275</v>
      </c>
      <c r="C59" s="1099">
        <v>2500</v>
      </c>
      <c r="D59" s="1100" t="s">
        <v>885</v>
      </c>
      <c r="E59" s="1489">
        <v>40667</v>
      </c>
      <c r="F59" s="1483">
        <v>692.35</v>
      </c>
      <c r="G59" s="1477" t="s">
        <v>885</v>
      </c>
      <c r="H59" s="1479" t="s">
        <v>1184</v>
      </c>
      <c r="I59" s="1491">
        <f>E59+(365*4)</f>
        <v>42127</v>
      </c>
      <c r="J59" s="1493">
        <f>F59+C59</f>
        <v>3192.35</v>
      </c>
      <c r="K59" s="1507" t="s">
        <v>885</v>
      </c>
      <c r="L59" s="1124">
        <f>J59-$C$7</f>
        <v>1999.85</v>
      </c>
      <c r="M59" s="638" t="s">
        <v>885</v>
      </c>
      <c r="N59" s="840" t="str">
        <f t="shared" si="0"/>
        <v/>
      </c>
      <c r="O59" s="840"/>
    </row>
    <row r="60" spans="2:15" s="581" customFormat="1" ht="20.100000000000001" customHeight="1" x14ac:dyDescent="0.2">
      <c r="B60" s="1488"/>
      <c r="C60" s="1101">
        <v>48</v>
      </c>
      <c r="D60" s="1102" t="s">
        <v>880</v>
      </c>
      <c r="E60" s="1490"/>
      <c r="F60" s="1484"/>
      <c r="G60" s="1478"/>
      <c r="H60" s="1480"/>
      <c r="I60" s="1492"/>
      <c r="J60" s="1494"/>
      <c r="K60" s="1508"/>
      <c r="L60" s="1125">
        <f>I59-$L$9</f>
        <v>678</v>
      </c>
      <c r="M60" s="680" t="s">
        <v>906</v>
      </c>
      <c r="N60" s="1501" t="str">
        <f t="shared" si="0"/>
        <v/>
      </c>
      <c r="O60" s="1502"/>
    </row>
    <row r="61" spans="2:15" s="581" customFormat="1" ht="20.100000000000001" customHeight="1" x14ac:dyDescent="0.2">
      <c r="B61" s="1487" t="s">
        <v>1276</v>
      </c>
      <c r="C61" s="1099">
        <v>2500</v>
      </c>
      <c r="D61" s="1100" t="s">
        <v>885</v>
      </c>
      <c r="E61" s="1489">
        <v>39289</v>
      </c>
      <c r="F61" s="1483">
        <v>0</v>
      </c>
      <c r="G61" s="1477" t="s">
        <v>885</v>
      </c>
      <c r="H61" s="1479" t="s">
        <v>1185</v>
      </c>
      <c r="I61" s="1491">
        <f>E61+(365*6)+180</f>
        <v>41659</v>
      </c>
      <c r="J61" s="1493">
        <f>F61+C61+250</f>
        <v>2750</v>
      </c>
      <c r="K61" s="1507" t="s">
        <v>885</v>
      </c>
      <c r="L61" s="1124">
        <f>J61-$C$7</f>
        <v>1557.5</v>
      </c>
      <c r="M61" s="638" t="s">
        <v>885</v>
      </c>
      <c r="N61" s="840" t="str">
        <f t="shared" si="0"/>
        <v/>
      </c>
      <c r="O61" s="840"/>
    </row>
    <row r="62" spans="2:15" s="581" customFormat="1" ht="20.100000000000001" customHeight="1" x14ac:dyDescent="0.2">
      <c r="B62" s="1488"/>
      <c r="C62" s="1101">
        <v>72</v>
      </c>
      <c r="D62" s="1102" t="s">
        <v>880</v>
      </c>
      <c r="E62" s="1490"/>
      <c r="F62" s="1484"/>
      <c r="G62" s="1478"/>
      <c r="H62" s="1480"/>
      <c r="I62" s="1492"/>
      <c r="J62" s="1494"/>
      <c r="K62" s="1508"/>
      <c r="L62" s="1125">
        <f>I61-$L$9</f>
        <v>210</v>
      </c>
      <c r="M62" s="680" t="s">
        <v>906</v>
      </c>
      <c r="N62" s="840" t="str">
        <f t="shared" si="0"/>
        <v/>
      </c>
      <c r="O62" s="840"/>
    </row>
    <row r="63" spans="2:15" s="581" customFormat="1" ht="30" customHeight="1" x14ac:dyDescent="0.2">
      <c r="B63" s="1083" t="s">
        <v>927</v>
      </c>
      <c r="C63" s="593">
        <v>3000</v>
      </c>
      <c r="D63" s="1126" t="s">
        <v>885</v>
      </c>
      <c r="E63" s="998">
        <v>39289</v>
      </c>
      <c r="F63" s="1117">
        <v>0</v>
      </c>
      <c r="G63" s="598" t="s">
        <v>885</v>
      </c>
      <c r="H63" s="595" t="s">
        <v>1185</v>
      </c>
      <c r="I63" s="596"/>
      <c r="J63" s="597">
        <f>F63+C63</f>
        <v>3000</v>
      </c>
      <c r="K63" s="598" t="s">
        <v>885</v>
      </c>
      <c r="L63" s="599">
        <f>J63-$C$7</f>
        <v>1807.5</v>
      </c>
      <c r="M63" s="600" t="s">
        <v>885</v>
      </c>
      <c r="N63" s="840"/>
      <c r="O63" s="840"/>
    </row>
    <row r="64" spans="2:15" s="581" customFormat="1" ht="20.100000000000001" customHeight="1" x14ac:dyDescent="0.2">
      <c r="B64" s="1487" t="s">
        <v>1277</v>
      </c>
      <c r="C64" s="1099">
        <v>3000</v>
      </c>
      <c r="D64" s="1100" t="s">
        <v>885</v>
      </c>
      <c r="E64" s="1489">
        <v>39289</v>
      </c>
      <c r="F64" s="1483">
        <v>0</v>
      </c>
      <c r="G64" s="1477" t="s">
        <v>885</v>
      </c>
      <c r="H64" s="1479" t="s">
        <v>1185</v>
      </c>
      <c r="I64" s="1491">
        <f>E64+(365*6)+180</f>
        <v>41659</v>
      </c>
      <c r="J64" s="1493">
        <f>F64+C64+300</f>
        <v>3300</v>
      </c>
      <c r="K64" s="1507" t="s">
        <v>885</v>
      </c>
      <c r="L64" s="1124">
        <f>J64-$C$7</f>
        <v>2107.5</v>
      </c>
      <c r="M64" s="638" t="s">
        <v>885</v>
      </c>
      <c r="N64" s="840" t="str">
        <f>IF(L:L&lt;=30,"ALERTA","")</f>
        <v/>
      </c>
      <c r="O64" s="840"/>
    </row>
    <row r="65" spans="2:15" s="581" customFormat="1" ht="20.100000000000001" customHeight="1" x14ac:dyDescent="0.2">
      <c r="B65" s="1488"/>
      <c r="C65" s="1101">
        <v>72</v>
      </c>
      <c r="D65" s="1102" t="s">
        <v>880</v>
      </c>
      <c r="E65" s="1490"/>
      <c r="F65" s="1484"/>
      <c r="G65" s="1478"/>
      <c r="H65" s="1480"/>
      <c r="I65" s="1492"/>
      <c r="J65" s="1494"/>
      <c r="K65" s="1508"/>
      <c r="L65" s="1125">
        <f>I64-$L$9</f>
        <v>210</v>
      </c>
      <c r="M65" s="680" t="s">
        <v>906</v>
      </c>
      <c r="N65" s="840" t="str">
        <f>IF(L:L&lt;=30,"ALERTA","")</f>
        <v/>
      </c>
      <c r="O65" s="840"/>
    </row>
    <row r="66" spans="2:15" s="581" customFormat="1" ht="20.100000000000001" customHeight="1" x14ac:dyDescent="0.2">
      <c r="B66" s="1487" t="s">
        <v>1278</v>
      </c>
      <c r="C66" s="1099">
        <v>5000</v>
      </c>
      <c r="D66" s="1100" t="s">
        <v>885</v>
      </c>
      <c r="E66" s="1489">
        <v>39289</v>
      </c>
      <c r="F66" s="1483">
        <v>0</v>
      </c>
      <c r="G66" s="1477" t="s">
        <v>885</v>
      </c>
      <c r="H66" s="1479" t="s">
        <v>1185</v>
      </c>
      <c r="I66" s="1491">
        <f>E66+(365*6)+180</f>
        <v>41659</v>
      </c>
      <c r="J66" s="1493">
        <f>F66+C66+300</f>
        <v>5300</v>
      </c>
      <c r="K66" s="1507" t="s">
        <v>885</v>
      </c>
      <c r="L66" s="1124">
        <f>J66-$C$7</f>
        <v>4107.5</v>
      </c>
      <c r="M66" s="638" t="s">
        <v>885</v>
      </c>
      <c r="N66" s="840" t="str">
        <f>IF(L:L&lt;=30,"ALERTA","")</f>
        <v/>
      </c>
      <c r="O66" s="840"/>
    </row>
    <row r="67" spans="2:15" s="581" customFormat="1" ht="20.100000000000001" customHeight="1" x14ac:dyDescent="0.2">
      <c r="B67" s="1488"/>
      <c r="C67" s="1101">
        <v>72</v>
      </c>
      <c r="D67" s="1102" t="s">
        <v>880</v>
      </c>
      <c r="E67" s="1490"/>
      <c r="F67" s="1484"/>
      <c r="G67" s="1478"/>
      <c r="H67" s="1480"/>
      <c r="I67" s="1492"/>
      <c r="J67" s="1494"/>
      <c r="K67" s="1508"/>
      <c r="L67" s="1125">
        <f>I66-$L$9</f>
        <v>210</v>
      </c>
      <c r="M67" s="680" t="s">
        <v>906</v>
      </c>
      <c r="N67" s="840" t="str">
        <f>IF(L:L&lt;=30,"ALERTA","")</f>
        <v/>
      </c>
      <c r="O67" s="840"/>
    </row>
    <row r="68" spans="2:15" s="97" customFormat="1" ht="30.2" customHeight="1" x14ac:dyDescent="0.2">
      <c r="B68" s="103" t="s">
        <v>924</v>
      </c>
      <c r="C68" s="107">
        <v>5400</v>
      </c>
      <c r="D68" s="108" t="s">
        <v>885</v>
      </c>
      <c r="E68" s="997">
        <v>39289</v>
      </c>
      <c r="F68" s="114">
        <v>0</v>
      </c>
      <c r="G68" s="822" t="s">
        <v>885</v>
      </c>
      <c r="H68" s="120" t="s">
        <v>1185</v>
      </c>
      <c r="I68" s="116"/>
      <c r="J68" s="121">
        <f>F68+C68</f>
        <v>5400</v>
      </c>
      <c r="K68" s="122" t="s">
        <v>885</v>
      </c>
      <c r="L68" s="123">
        <f>J68-$C$7</f>
        <v>4207.5</v>
      </c>
      <c r="M68" s="124" t="s">
        <v>885</v>
      </c>
      <c r="N68" s="97" t="str">
        <f>IF(L:L&lt;=30,"ALERTA","")</f>
        <v/>
      </c>
    </row>
    <row r="69" spans="2:15" s="97" customFormat="1" ht="30.2" customHeight="1" x14ac:dyDescent="0.2">
      <c r="B69" s="103" t="s">
        <v>881</v>
      </c>
      <c r="C69" s="993">
        <v>7</v>
      </c>
      <c r="D69" s="110" t="s">
        <v>906</v>
      </c>
      <c r="E69" s="1524" t="s">
        <v>1389</v>
      </c>
      <c r="F69" s="1525"/>
      <c r="G69" s="1525"/>
      <c r="H69" s="1526"/>
      <c r="I69" s="1526"/>
      <c r="J69" s="1526"/>
      <c r="K69" s="1526"/>
      <c r="L69" s="1526"/>
      <c r="M69" s="1527"/>
      <c r="N69" s="1505"/>
      <c r="O69" s="1506"/>
    </row>
    <row r="70" spans="2:15" s="581" customFormat="1" ht="30.2" customHeight="1" x14ac:dyDescent="0.2">
      <c r="B70" s="1083" t="s">
        <v>918</v>
      </c>
      <c r="C70" s="593">
        <v>1</v>
      </c>
      <c r="D70" s="582" t="s">
        <v>880</v>
      </c>
      <c r="E70" s="1103">
        <v>41449</v>
      </c>
      <c r="F70" s="1104">
        <v>1192.5</v>
      </c>
      <c r="G70" s="1105" t="s">
        <v>885</v>
      </c>
      <c r="H70" s="1106" t="s">
        <v>1458</v>
      </c>
      <c r="I70" s="1107">
        <f>E70+30</f>
        <v>41479</v>
      </c>
      <c r="J70" s="607"/>
      <c r="K70" s="608"/>
      <c r="L70" s="1108">
        <f>I70-L9</f>
        <v>30</v>
      </c>
      <c r="M70" s="1109" t="s">
        <v>906</v>
      </c>
      <c r="N70" s="1503"/>
      <c r="O70" s="1504"/>
    </row>
    <row r="71" spans="2:15" s="581" customFormat="1" ht="30.2" customHeight="1" x14ac:dyDescent="0.2">
      <c r="B71" s="103" t="s">
        <v>921</v>
      </c>
      <c r="C71" s="593">
        <v>3</v>
      </c>
      <c r="D71" s="582" t="s">
        <v>880</v>
      </c>
      <c r="E71" s="999" t="s">
        <v>1210</v>
      </c>
      <c r="F71" s="594"/>
      <c r="G71" s="823"/>
      <c r="H71" s="595"/>
      <c r="I71" s="606"/>
      <c r="J71" s="607"/>
      <c r="K71" s="608"/>
      <c r="M71" s="600"/>
      <c r="N71" s="1505"/>
      <c r="O71" s="1506"/>
    </row>
    <row r="72" spans="2:15" s="581" customFormat="1" ht="30.2" customHeight="1" x14ac:dyDescent="0.2">
      <c r="B72" s="1083" t="s">
        <v>922</v>
      </c>
      <c r="C72" s="593">
        <v>6</v>
      </c>
      <c r="D72" s="582" t="s">
        <v>880</v>
      </c>
      <c r="E72" s="1215">
        <v>41418</v>
      </c>
      <c r="F72" s="1076">
        <v>1171.2</v>
      </c>
      <c r="G72" s="598" t="s">
        <v>885</v>
      </c>
      <c r="H72" s="1231" t="s">
        <v>1415</v>
      </c>
      <c r="I72" s="606">
        <f>E72+(365/2)</f>
        <v>41600.5</v>
      </c>
      <c r="J72" s="607"/>
      <c r="K72" s="608"/>
      <c r="L72" s="609">
        <f t="shared" ref="L72:L83" si="1">I72-$L$9</f>
        <v>151.5</v>
      </c>
      <c r="M72" s="600" t="s">
        <v>906</v>
      </c>
      <c r="N72" s="1503" t="str">
        <f>IF(L:L&lt;=30,"ALERTA","")</f>
        <v/>
      </c>
      <c r="O72" s="1504"/>
    </row>
    <row r="73" spans="2:15" s="581" customFormat="1" ht="20.100000000000001" customHeight="1" x14ac:dyDescent="0.2">
      <c r="B73" s="1495" t="s">
        <v>917</v>
      </c>
      <c r="C73" s="601">
        <v>6</v>
      </c>
      <c r="D73" s="602" t="s">
        <v>880</v>
      </c>
      <c r="E73" s="1000" t="s">
        <v>953</v>
      </c>
      <c r="F73" s="621"/>
      <c r="G73" s="820"/>
      <c r="H73" s="676"/>
      <c r="I73" s="1497"/>
      <c r="J73" s="677"/>
      <c r="K73" s="678"/>
      <c r="M73" s="638"/>
      <c r="N73" s="1505"/>
      <c r="O73" s="1506"/>
    </row>
    <row r="74" spans="2:15" s="581" customFormat="1" ht="20.100000000000001" customHeight="1" x14ac:dyDescent="0.2">
      <c r="B74" s="1496"/>
      <c r="C74" s="603">
        <v>50</v>
      </c>
      <c r="D74" s="604" t="s">
        <v>897</v>
      </c>
      <c r="E74" s="1001"/>
      <c r="F74" s="622"/>
      <c r="G74" s="823"/>
      <c r="H74" s="595"/>
      <c r="I74" s="1498"/>
      <c r="J74" s="605"/>
      <c r="K74" s="679"/>
      <c r="M74" s="680"/>
    </row>
    <row r="75" spans="2:15" s="581" customFormat="1" ht="20.100000000000001" customHeight="1" x14ac:dyDescent="0.2">
      <c r="B75" s="1487" t="s">
        <v>920</v>
      </c>
      <c r="C75" s="601">
        <v>24</v>
      </c>
      <c r="D75" s="1028" t="s">
        <v>880</v>
      </c>
      <c r="E75" s="1489">
        <v>41418</v>
      </c>
      <c r="F75" s="1483">
        <v>1171.2</v>
      </c>
      <c r="G75" s="1485" t="s">
        <v>884</v>
      </c>
      <c r="H75" s="1479" t="s">
        <v>1415</v>
      </c>
      <c r="I75" s="1497">
        <f>E75+(365*2)</f>
        <v>42148</v>
      </c>
      <c r="J75" s="1481">
        <f>F75+C76</f>
        <v>1521.2</v>
      </c>
      <c r="K75" s="1477" t="s">
        <v>884</v>
      </c>
      <c r="L75" s="1232">
        <f>I75-L9</f>
        <v>699</v>
      </c>
      <c r="M75" s="638" t="s">
        <v>906</v>
      </c>
      <c r="O75" s="840"/>
    </row>
    <row r="76" spans="2:15" s="581" customFormat="1" ht="20.100000000000001" customHeight="1" x14ac:dyDescent="0.2">
      <c r="B76" s="1488"/>
      <c r="C76" s="603">
        <v>350</v>
      </c>
      <c r="D76" s="1148" t="s">
        <v>884</v>
      </c>
      <c r="E76" s="1490"/>
      <c r="F76" s="1484"/>
      <c r="G76" s="1486"/>
      <c r="H76" s="1480"/>
      <c r="I76" s="1498"/>
      <c r="J76" s="1482"/>
      <c r="K76" s="1478"/>
      <c r="L76" s="1233">
        <f>J75-Id!E13</f>
        <v>1149.2</v>
      </c>
      <c r="M76" s="680" t="s">
        <v>884</v>
      </c>
    </row>
    <row r="77" spans="2:15" s="581" customFormat="1" ht="20.100000000000001" customHeight="1" x14ac:dyDescent="0.2">
      <c r="B77" s="1475" t="s">
        <v>919</v>
      </c>
      <c r="C77" s="601">
        <v>24</v>
      </c>
      <c r="D77" s="1028" t="s">
        <v>880</v>
      </c>
      <c r="E77" s="1489">
        <v>41418</v>
      </c>
      <c r="F77" s="1483">
        <v>3392</v>
      </c>
      <c r="G77" s="1485" t="s">
        <v>882</v>
      </c>
      <c r="H77" s="1479" t="s">
        <v>1415</v>
      </c>
      <c r="I77" s="1497">
        <f>E77+(365*2)</f>
        <v>42148</v>
      </c>
      <c r="J77" s="1481">
        <f>F77+C78</f>
        <v>3892</v>
      </c>
      <c r="K77" s="1477" t="s">
        <v>882</v>
      </c>
      <c r="L77" s="1232">
        <f>I77-$L$9</f>
        <v>699</v>
      </c>
      <c r="M77" s="638" t="s">
        <v>906</v>
      </c>
      <c r="O77" s="840"/>
    </row>
    <row r="78" spans="2:15" s="581" customFormat="1" ht="20.100000000000001" customHeight="1" x14ac:dyDescent="0.2">
      <c r="B78" s="1476"/>
      <c r="C78" s="603">
        <v>500</v>
      </c>
      <c r="D78" s="1148" t="s">
        <v>882</v>
      </c>
      <c r="E78" s="1490"/>
      <c r="F78" s="1484"/>
      <c r="G78" s="1486"/>
      <c r="H78" s="1480"/>
      <c r="I78" s="1498"/>
      <c r="J78" s="1482"/>
      <c r="K78" s="1478"/>
      <c r="L78" s="1233">
        <f>J77-$C$8</f>
        <v>360</v>
      </c>
      <c r="M78" s="680" t="s">
        <v>882</v>
      </c>
    </row>
    <row r="79" spans="2:15" s="581" customFormat="1" ht="30.2" customHeight="1" x14ac:dyDescent="0.2">
      <c r="B79" s="1083" t="s">
        <v>271</v>
      </c>
      <c r="C79" s="593">
        <v>30</v>
      </c>
      <c r="D79" s="582" t="s">
        <v>880</v>
      </c>
      <c r="E79" s="1002">
        <v>40667</v>
      </c>
      <c r="F79" s="1117">
        <v>692.25</v>
      </c>
      <c r="G79" s="598" t="s">
        <v>885</v>
      </c>
      <c r="H79" s="595" t="s">
        <v>1313</v>
      </c>
      <c r="I79" s="606">
        <f>E79+(912)</f>
        <v>41579</v>
      </c>
      <c r="J79" s="607"/>
      <c r="K79" s="608"/>
      <c r="L79" s="609">
        <f t="shared" si="1"/>
        <v>130</v>
      </c>
      <c r="M79" s="600" t="s">
        <v>906</v>
      </c>
      <c r="N79" s="821" t="str">
        <f>IF(L:L&lt;=30,"ALERTA","")</f>
        <v/>
      </c>
      <c r="O79" s="840"/>
    </row>
    <row r="80" spans="2:15" s="581" customFormat="1" ht="30.2" customHeight="1" x14ac:dyDescent="0.2">
      <c r="B80" s="103" t="s">
        <v>883</v>
      </c>
      <c r="C80" s="593">
        <v>36</v>
      </c>
      <c r="D80" s="598" t="s">
        <v>880</v>
      </c>
      <c r="E80" s="1002">
        <v>40667</v>
      </c>
      <c r="F80" s="622">
        <v>692.25</v>
      </c>
      <c r="G80" s="598" t="s">
        <v>885</v>
      </c>
      <c r="H80" s="595" t="s">
        <v>1313</v>
      </c>
      <c r="I80" s="606">
        <f>E80+(365*3)</f>
        <v>41762</v>
      </c>
      <c r="J80" s="607"/>
      <c r="K80" s="608"/>
      <c r="L80" s="609">
        <f t="shared" si="1"/>
        <v>313</v>
      </c>
      <c r="M80" s="600" t="s">
        <v>906</v>
      </c>
      <c r="N80" s="821" t="str">
        <f>IF(L:L&lt;=30,"ALERTA","")</f>
        <v/>
      </c>
      <c r="O80" s="840"/>
    </row>
    <row r="81" spans="2:15" s="581" customFormat="1" ht="30.2" customHeight="1" x14ac:dyDescent="0.2">
      <c r="B81" s="103" t="s">
        <v>1214</v>
      </c>
      <c r="C81" s="593">
        <v>60</v>
      </c>
      <c r="D81" s="598" t="s">
        <v>880</v>
      </c>
      <c r="E81" s="999" t="s">
        <v>1213</v>
      </c>
      <c r="F81" s="594"/>
      <c r="G81" s="598"/>
      <c r="H81" s="595"/>
      <c r="I81" s="606"/>
      <c r="J81" s="607"/>
      <c r="K81" s="608"/>
      <c r="M81" s="600"/>
      <c r="N81" s="1505"/>
      <c r="O81" s="1506"/>
    </row>
    <row r="82" spans="2:15" s="581" customFormat="1" ht="30.2" customHeight="1" x14ac:dyDescent="0.2">
      <c r="B82" s="103" t="s">
        <v>1211</v>
      </c>
      <c r="C82" s="593">
        <v>72</v>
      </c>
      <c r="D82" s="598" t="s">
        <v>880</v>
      </c>
      <c r="E82" s="1002">
        <v>39289</v>
      </c>
      <c r="F82" s="594">
        <v>0</v>
      </c>
      <c r="G82" s="598" t="s">
        <v>885</v>
      </c>
      <c r="H82" s="595" t="s">
        <v>1185</v>
      </c>
      <c r="I82" s="606">
        <v>43672</v>
      </c>
      <c r="J82" s="607"/>
      <c r="K82" s="608"/>
      <c r="L82" s="609">
        <f t="shared" si="1"/>
        <v>2223</v>
      </c>
      <c r="M82" s="600" t="s">
        <v>906</v>
      </c>
      <c r="N82" s="821" t="str">
        <f>IF(L:L&lt;=30,"ALERTA","")</f>
        <v/>
      </c>
    </row>
    <row r="83" spans="2:15" s="581" customFormat="1" ht="30.2" customHeight="1" x14ac:dyDescent="0.2">
      <c r="B83" s="103" t="s">
        <v>923</v>
      </c>
      <c r="C83" s="593">
        <v>96</v>
      </c>
      <c r="D83" s="598" t="s">
        <v>880</v>
      </c>
      <c r="E83" s="1002">
        <v>39289</v>
      </c>
      <c r="F83" s="594">
        <v>0</v>
      </c>
      <c r="G83" s="598" t="s">
        <v>885</v>
      </c>
      <c r="H83" s="595" t="s">
        <v>1185</v>
      </c>
      <c r="I83" s="606">
        <f>E83+(365*8)</f>
        <v>42209</v>
      </c>
      <c r="J83" s="607"/>
      <c r="K83" s="608"/>
      <c r="L83" s="609">
        <f t="shared" si="1"/>
        <v>760</v>
      </c>
      <c r="M83" s="600" t="s">
        <v>906</v>
      </c>
      <c r="N83" s="821" t="str">
        <f>IF(L:L&lt;=30,"ALERTA","")</f>
        <v/>
      </c>
    </row>
    <row r="84" spans="2:15" s="97" customFormat="1" ht="15.75" x14ac:dyDescent="0.25">
      <c r="B84" s="899" t="s">
        <v>928</v>
      </c>
      <c r="C84" s="900"/>
      <c r="D84" s="900"/>
      <c r="E84" s="1003"/>
      <c r="F84" s="902"/>
      <c r="G84" s="900"/>
      <c r="H84" s="903"/>
      <c r="I84" s="904"/>
      <c r="J84" s="905"/>
      <c r="K84" s="906"/>
      <c r="L84" s="907"/>
      <c r="M84" s="908"/>
    </row>
    <row r="85" spans="2:15" s="581" customFormat="1" ht="15.75" x14ac:dyDescent="0.2">
      <c r="B85" s="1197" t="s">
        <v>931</v>
      </c>
      <c r="C85" s="593">
        <v>60</v>
      </c>
      <c r="D85" s="598" t="s">
        <v>880</v>
      </c>
      <c r="E85" s="1004" t="s">
        <v>953</v>
      </c>
      <c r="F85" s="640"/>
      <c r="G85" s="640"/>
      <c r="H85" s="640"/>
      <c r="I85" s="640"/>
      <c r="J85" s="640"/>
      <c r="K85" s="640"/>
      <c r="L85" s="640"/>
      <c r="M85" s="641"/>
    </row>
    <row r="86" spans="2:15" s="581" customFormat="1" ht="15.75" x14ac:dyDescent="0.2">
      <c r="B86" s="98"/>
      <c r="C86" s="593">
        <v>96</v>
      </c>
      <c r="D86" s="598" t="s">
        <v>880</v>
      </c>
      <c r="E86" s="1005"/>
      <c r="F86" s="642"/>
      <c r="G86" s="642"/>
      <c r="H86" s="642"/>
      <c r="I86" s="642"/>
      <c r="J86" s="642"/>
      <c r="K86" s="642"/>
      <c r="L86" s="642"/>
      <c r="M86" s="643"/>
    </row>
    <row r="87" spans="2:15" s="581" customFormat="1" ht="15.75" x14ac:dyDescent="0.2">
      <c r="B87" s="1198" t="s">
        <v>930</v>
      </c>
      <c r="C87" s="593">
        <v>30</v>
      </c>
      <c r="D87" s="598" t="s">
        <v>885</v>
      </c>
      <c r="E87" s="1060">
        <v>41229</v>
      </c>
      <c r="F87" s="1061">
        <v>1031.7</v>
      </c>
      <c r="G87" s="1062" t="s">
        <v>885</v>
      </c>
      <c r="H87" s="1060" t="s">
        <v>1397</v>
      </c>
      <c r="I87" s="1515"/>
      <c r="J87" s="1516"/>
      <c r="K87" s="1516"/>
      <c r="L87" s="1516"/>
      <c r="M87" s="1517"/>
    </row>
    <row r="88" spans="2:15" s="581" customFormat="1" ht="15.75" x14ac:dyDescent="0.2">
      <c r="B88" s="1127"/>
      <c r="C88" s="601">
        <v>500</v>
      </c>
      <c r="D88" s="1200" t="s">
        <v>885</v>
      </c>
      <c r="E88" s="1060">
        <v>41124</v>
      </c>
      <c r="F88" s="1061">
        <v>1007</v>
      </c>
      <c r="G88" s="1062" t="s">
        <v>885</v>
      </c>
      <c r="H88" s="1060" t="s">
        <v>1385</v>
      </c>
      <c r="I88" s="1128"/>
      <c r="J88" s="1061">
        <f>F88+C88</f>
        <v>1507</v>
      </c>
      <c r="K88" s="1062" t="s">
        <v>885</v>
      </c>
      <c r="L88" s="664">
        <f>J88-C7</f>
        <v>314.5</v>
      </c>
      <c r="M88" s="1062" t="s">
        <v>885</v>
      </c>
    </row>
    <row r="89" spans="2:15" s="97" customFormat="1" ht="15.75" x14ac:dyDescent="0.2">
      <c r="B89" s="819" t="s">
        <v>929</v>
      </c>
      <c r="C89" s="119">
        <v>2</v>
      </c>
      <c r="D89" s="1203" t="s">
        <v>885</v>
      </c>
      <c r="E89" s="1006" t="s">
        <v>956</v>
      </c>
      <c r="F89" s="645"/>
      <c r="G89" s="645"/>
      <c r="H89" s="645"/>
      <c r="I89" s="645"/>
      <c r="J89" s="645"/>
      <c r="K89" s="645"/>
      <c r="L89" s="645"/>
      <c r="M89" s="646"/>
    </row>
    <row r="90" spans="2:15" s="581" customFormat="1" ht="15.75" x14ac:dyDescent="0.2">
      <c r="B90" s="1198" t="s">
        <v>932</v>
      </c>
      <c r="C90" s="593">
        <v>2</v>
      </c>
      <c r="D90" s="598" t="s">
        <v>885</v>
      </c>
      <c r="E90" s="1060">
        <v>41173</v>
      </c>
      <c r="F90" s="1061">
        <v>1008.7</v>
      </c>
      <c r="G90" s="1062" t="s">
        <v>885</v>
      </c>
      <c r="H90" s="1060" t="s">
        <v>1387</v>
      </c>
      <c r="I90" s="1068"/>
      <c r="J90" s="1069"/>
      <c r="K90" s="1069"/>
      <c r="L90" s="1069"/>
      <c r="M90" s="1070"/>
    </row>
    <row r="91" spans="2:15" s="581" customFormat="1" ht="15.75" x14ac:dyDescent="0.2">
      <c r="B91" s="98"/>
      <c r="C91" s="593">
        <v>10</v>
      </c>
      <c r="D91" s="598" t="s">
        <v>885</v>
      </c>
      <c r="E91" s="1060">
        <v>41175</v>
      </c>
      <c r="F91" s="1061">
        <v>1017.1</v>
      </c>
      <c r="G91" s="1062" t="s">
        <v>885</v>
      </c>
      <c r="H91" s="1060" t="s">
        <v>1388</v>
      </c>
      <c r="I91" s="1072"/>
      <c r="J91" s="1073"/>
      <c r="K91" s="1073"/>
      <c r="L91" s="1073"/>
      <c r="M91" s="1074"/>
    </row>
    <row r="92" spans="2:15" s="581" customFormat="1" ht="15.75" x14ac:dyDescent="0.2">
      <c r="B92" s="1197" t="s">
        <v>933</v>
      </c>
      <c r="C92" s="593">
        <v>96</v>
      </c>
      <c r="D92" s="598" t="s">
        <v>880</v>
      </c>
      <c r="E92" s="1004" t="s">
        <v>954</v>
      </c>
      <c r="F92" s="662"/>
      <c r="G92" s="662"/>
      <c r="H92" s="662"/>
      <c r="I92" s="662"/>
      <c r="J92" s="662"/>
      <c r="K92" s="662"/>
      <c r="L92" s="662"/>
      <c r="M92" s="663"/>
    </row>
    <row r="93" spans="2:15" s="97" customFormat="1" ht="15.75" x14ac:dyDescent="0.2">
      <c r="B93" s="1008"/>
      <c r="C93" s="107">
        <v>144</v>
      </c>
      <c r="D93" s="122" t="s">
        <v>880</v>
      </c>
      <c r="E93" s="1007"/>
      <c r="F93" s="647"/>
      <c r="G93" s="647"/>
      <c r="H93" s="647"/>
      <c r="I93" s="647"/>
      <c r="J93" s="647"/>
      <c r="K93" s="647"/>
      <c r="L93" s="647"/>
      <c r="M93" s="648"/>
    </row>
    <row r="94" spans="2:15" s="97" customFormat="1" ht="15.75" x14ac:dyDescent="0.2">
      <c r="B94" s="1008"/>
      <c r="C94" s="107">
        <v>192</v>
      </c>
      <c r="D94" s="122" t="s">
        <v>880</v>
      </c>
      <c r="E94" s="623"/>
      <c r="F94" s="660"/>
      <c r="G94" s="660"/>
      <c r="H94" s="660"/>
      <c r="I94" s="660"/>
      <c r="J94" s="660"/>
      <c r="K94" s="660"/>
      <c r="L94" s="660"/>
      <c r="M94" s="661"/>
    </row>
    <row r="95" spans="2:15" s="97" customFormat="1" ht="15.75" x14ac:dyDescent="0.2">
      <c r="B95" s="1009"/>
      <c r="C95" s="107">
        <v>240</v>
      </c>
      <c r="D95" s="122" t="s">
        <v>880</v>
      </c>
      <c r="E95" s="1207"/>
      <c r="F95" s="650"/>
      <c r="G95" s="650"/>
      <c r="H95" s="650"/>
      <c r="I95" s="650"/>
      <c r="J95" s="650"/>
      <c r="K95" s="650"/>
      <c r="L95" s="650"/>
      <c r="M95" s="651"/>
    </row>
    <row r="96" spans="2:15" s="97" customFormat="1" ht="15" customHeight="1" x14ac:dyDescent="0.2">
      <c r="B96" s="1010" t="s">
        <v>933</v>
      </c>
      <c r="C96" s="107">
        <v>144</v>
      </c>
      <c r="D96" s="598" t="s">
        <v>880</v>
      </c>
      <c r="E96" s="1002">
        <v>39213</v>
      </c>
      <c r="F96" s="1199">
        <v>0</v>
      </c>
      <c r="G96" s="598" t="s">
        <v>885</v>
      </c>
      <c r="H96" s="595" t="s">
        <v>1185</v>
      </c>
      <c r="I96" s="606">
        <f>E96+(365*12)</f>
        <v>43593</v>
      </c>
      <c r="J96" s="607"/>
      <c r="K96" s="608"/>
      <c r="L96" s="609">
        <f t="shared" ref="L96:L97" si="2">I96-$L$9</f>
        <v>2144</v>
      </c>
      <c r="M96" s="600" t="s">
        <v>906</v>
      </c>
    </row>
    <row r="97" spans="2:14" s="97" customFormat="1" ht="15" customHeight="1" x14ac:dyDescent="0.2">
      <c r="B97" s="1008"/>
      <c r="C97" s="113">
        <v>216</v>
      </c>
      <c r="D97" s="598" t="s">
        <v>880</v>
      </c>
      <c r="E97" s="1002">
        <v>39213</v>
      </c>
      <c r="F97" s="1199">
        <v>0</v>
      </c>
      <c r="G97" s="598" t="s">
        <v>885</v>
      </c>
      <c r="H97" s="595" t="s">
        <v>1185</v>
      </c>
      <c r="I97" s="606">
        <f>E97+(365*18)</f>
        <v>45783</v>
      </c>
      <c r="J97" s="607"/>
      <c r="K97" s="608"/>
      <c r="L97" s="609">
        <f t="shared" si="2"/>
        <v>4334</v>
      </c>
      <c r="M97" s="600" t="s">
        <v>906</v>
      </c>
    </row>
    <row r="98" spans="2:14" s="581" customFormat="1" ht="30.2" customHeight="1" x14ac:dyDescent="0.2">
      <c r="B98" s="103" t="s">
        <v>934</v>
      </c>
      <c r="C98" s="593">
        <v>25</v>
      </c>
      <c r="D98" s="598" t="s">
        <v>885</v>
      </c>
      <c r="E98" s="644" t="s">
        <v>955</v>
      </c>
      <c r="F98" s="645"/>
      <c r="G98" s="645"/>
      <c r="H98" s="645"/>
      <c r="I98" s="645"/>
      <c r="J98" s="645"/>
      <c r="K98" s="645"/>
      <c r="L98" s="645"/>
      <c r="M98" s="646"/>
    </row>
    <row r="99" spans="2:14" s="581" customFormat="1" ht="15.75" x14ac:dyDescent="0.2">
      <c r="B99" s="1197" t="s">
        <v>935</v>
      </c>
      <c r="C99" s="593">
        <v>25</v>
      </c>
      <c r="D99" s="598" t="s">
        <v>885</v>
      </c>
      <c r="E99" s="639" t="s">
        <v>955</v>
      </c>
      <c r="F99" s="640"/>
      <c r="G99" s="640"/>
      <c r="H99" s="640"/>
      <c r="I99" s="640"/>
      <c r="J99" s="640"/>
      <c r="K99" s="640"/>
      <c r="L99" s="640"/>
      <c r="M99" s="641"/>
    </row>
    <row r="100" spans="2:14" s="97" customFormat="1" ht="15.75" x14ac:dyDescent="0.2">
      <c r="B100" s="1008"/>
      <c r="C100" s="107">
        <v>150</v>
      </c>
      <c r="D100" s="122" t="s">
        <v>885</v>
      </c>
      <c r="E100" s="623"/>
      <c r="F100" s="660"/>
      <c r="G100" s="660"/>
      <c r="H100" s="660"/>
      <c r="I100" s="660"/>
      <c r="J100" s="660"/>
      <c r="K100" s="660"/>
      <c r="L100" s="660"/>
      <c r="M100" s="661"/>
    </row>
    <row r="101" spans="2:14" s="97" customFormat="1" ht="15.75" x14ac:dyDescent="0.2">
      <c r="B101" s="1008"/>
      <c r="C101" s="107">
        <v>300</v>
      </c>
      <c r="D101" s="122" t="s">
        <v>885</v>
      </c>
      <c r="E101" s="659"/>
      <c r="F101" s="660"/>
      <c r="G101" s="660"/>
      <c r="H101" s="660"/>
      <c r="I101" s="660"/>
      <c r="J101" s="660"/>
      <c r="K101" s="660"/>
      <c r="L101" s="660"/>
      <c r="M101" s="661"/>
    </row>
    <row r="102" spans="2:14" s="97" customFormat="1" ht="15.75" x14ac:dyDescent="0.2">
      <c r="B102" s="1009"/>
      <c r="C102" s="107">
        <v>450</v>
      </c>
      <c r="D102" s="122" t="s">
        <v>885</v>
      </c>
      <c r="E102" s="649"/>
      <c r="F102" s="650"/>
      <c r="G102" s="650"/>
      <c r="H102" s="650"/>
      <c r="I102" s="650"/>
      <c r="J102" s="650"/>
      <c r="K102" s="650"/>
      <c r="L102" s="650"/>
      <c r="M102" s="651"/>
    </row>
    <row r="103" spans="2:14" s="581" customFormat="1" ht="15" customHeight="1" x14ac:dyDescent="0.2">
      <c r="B103" s="1071" t="s">
        <v>1390</v>
      </c>
      <c r="C103" s="593">
        <v>2</v>
      </c>
      <c r="D103" s="598" t="s">
        <v>885</v>
      </c>
      <c r="E103" s="1060">
        <v>41173</v>
      </c>
      <c r="F103" s="1061">
        <v>1008.7</v>
      </c>
      <c r="G103" s="1062" t="s">
        <v>885</v>
      </c>
      <c r="H103" s="1060" t="s">
        <v>1387</v>
      </c>
      <c r="I103" s="1515"/>
      <c r="J103" s="1516"/>
      <c r="K103" s="1516"/>
      <c r="L103" s="1516"/>
      <c r="M103" s="1517"/>
    </row>
    <row r="104" spans="2:14" s="97" customFormat="1" ht="14.25" customHeight="1" x14ac:dyDescent="0.2">
      <c r="B104" s="1011" t="s">
        <v>936</v>
      </c>
      <c r="C104" s="107">
        <v>2</v>
      </c>
      <c r="D104" s="122" t="s">
        <v>885</v>
      </c>
      <c r="E104" s="644" t="s">
        <v>956</v>
      </c>
      <c r="F104" s="652"/>
      <c r="G104" s="652"/>
      <c r="H104" s="652"/>
      <c r="I104" s="652"/>
      <c r="J104" s="652"/>
      <c r="K104" s="652"/>
      <c r="L104" s="652"/>
      <c r="M104" s="653"/>
    </row>
    <row r="105" spans="2:14" s="97" customFormat="1" ht="15.75" x14ac:dyDescent="0.2">
      <c r="B105" s="1010" t="s">
        <v>937</v>
      </c>
      <c r="C105" s="107">
        <v>10</v>
      </c>
      <c r="D105" s="122" t="s">
        <v>885</v>
      </c>
      <c r="E105" s="639" t="s">
        <v>955</v>
      </c>
      <c r="F105" s="666"/>
      <c r="G105" s="666"/>
      <c r="H105" s="666"/>
      <c r="I105" s="666"/>
      <c r="J105" s="666"/>
      <c r="K105" s="666"/>
      <c r="L105" s="666"/>
      <c r="M105" s="667"/>
    </row>
    <row r="106" spans="2:14" s="581" customFormat="1" ht="15.75" x14ac:dyDescent="0.2">
      <c r="B106" s="1012" t="s">
        <v>938</v>
      </c>
      <c r="C106" s="601">
        <v>20</v>
      </c>
      <c r="D106" s="1200" t="s">
        <v>885</v>
      </c>
      <c r="E106" s="668"/>
      <c r="F106" s="669"/>
      <c r="G106" s="669"/>
      <c r="H106" s="669"/>
      <c r="I106" s="669"/>
      <c r="J106" s="669"/>
      <c r="K106" s="669"/>
      <c r="L106" s="669"/>
      <c r="M106" s="670"/>
    </row>
    <row r="107" spans="2:14" s="97" customFormat="1" ht="15.75" x14ac:dyDescent="0.2">
      <c r="B107" s="1009"/>
      <c r="C107" s="107">
        <v>30</v>
      </c>
      <c r="D107" s="122" t="s">
        <v>885</v>
      </c>
      <c r="E107" s="649"/>
      <c r="F107" s="650"/>
      <c r="G107" s="650"/>
      <c r="H107" s="650"/>
      <c r="I107" s="650"/>
      <c r="J107" s="650"/>
      <c r="K107" s="650"/>
      <c r="L107" s="650"/>
      <c r="M107" s="651"/>
    </row>
    <row r="108" spans="2:14" s="97" customFormat="1" ht="15" customHeight="1" x14ac:dyDescent="0.2">
      <c r="B108" s="1013" t="s">
        <v>939</v>
      </c>
      <c r="C108" s="107">
        <v>30</v>
      </c>
      <c r="D108" s="122" t="s">
        <v>885</v>
      </c>
      <c r="E108" s="644" t="s">
        <v>955</v>
      </c>
      <c r="F108" s="652"/>
      <c r="G108" s="652"/>
      <c r="H108" s="652"/>
      <c r="I108" s="652"/>
      <c r="J108" s="652"/>
      <c r="K108" s="652"/>
      <c r="L108" s="652"/>
      <c r="M108" s="653"/>
    </row>
    <row r="109" spans="2:14" s="581" customFormat="1" ht="18.75" customHeight="1" x14ac:dyDescent="0.2">
      <c r="B109" s="103" t="s">
        <v>940</v>
      </c>
      <c r="C109" s="593">
        <v>1</v>
      </c>
      <c r="D109" s="598" t="s">
        <v>885</v>
      </c>
      <c r="E109" s="644" t="s">
        <v>955</v>
      </c>
      <c r="F109" s="664"/>
      <c r="G109" s="664"/>
      <c r="H109" s="664"/>
      <c r="I109" s="664"/>
      <c r="J109" s="664"/>
      <c r="K109" s="664"/>
      <c r="L109" s="664"/>
      <c r="M109" s="665"/>
    </row>
    <row r="110" spans="2:14" s="581" customFormat="1" ht="15.75" x14ac:dyDescent="0.2">
      <c r="B110" s="1197" t="s">
        <v>940</v>
      </c>
      <c r="C110" s="601">
        <v>10</v>
      </c>
      <c r="D110" s="1200" t="s">
        <v>885</v>
      </c>
      <c r="E110" s="639" t="s">
        <v>955</v>
      </c>
      <c r="F110" s="662"/>
      <c r="G110" s="662"/>
      <c r="H110" s="662"/>
      <c r="I110" s="662"/>
      <c r="J110" s="662"/>
      <c r="K110" s="662"/>
      <c r="L110" s="662"/>
      <c r="M110" s="663"/>
    </row>
    <row r="111" spans="2:14" s="581" customFormat="1" ht="15.75" x14ac:dyDescent="0.2">
      <c r="B111" s="1008"/>
      <c r="C111" s="593">
        <v>25</v>
      </c>
      <c r="D111" s="598" t="s">
        <v>885</v>
      </c>
      <c r="E111" s="624"/>
      <c r="F111" s="671"/>
      <c r="G111" s="671"/>
      <c r="H111" s="671"/>
      <c r="I111" s="671"/>
      <c r="J111" s="671"/>
      <c r="K111" s="671"/>
      <c r="L111" s="671"/>
      <c r="M111" s="672"/>
      <c r="N111" s="97"/>
    </row>
    <row r="112" spans="2:14" s="581" customFormat="1" ht="15.75" x14ac:dyDescent="0.2">
      <c r="B112" s="1014"/>
      <c r="C112" s="603">
        <v>50</v>
      </c>
      <c r="D112" s="1201" t="s">
        <v>885</v>
      </c>
      <c r="E112" s="656"/>
      <c r="F112" s="657"/>
      <c r="G112" s="657"/>
      <c r="H112" s="657"/>
      <c r="I112" s="657"/>
      <c r="J112" s="657"/>
      <c r="K112" s="657"/>
      <c r="L112" s="657"/>
      <c r="M112" s="658"/>
      <c r="N112" s="97"/>
    </row>
    <row r="113" spans="2:14" s="581" customFormat="1" ht="15" customHeight="1" x14ac:dyDescent="0.2">
      <c r="B113" s="1011" t="s">
        <v>941</v>
      </c>
      <c r="C113" s="593">
        <v>2</v>
      </c>
      <c r="D113" s="598" t="s">
        <v>885</v>
      </c>
      <c r="E113" s="644" t="s">
        <v>956</v>
      </c>
      <c r="F113" s="654"/>
      <c r="G113" s="654"/>
      <c r="H113" s="654"/>
      <c r="I113" s="654"/>
      <c r="J113" s="654"/>
      <c r="K113" s="654"/>
      <c r="L113" s="654"/>
      <c r="M113" s="655"/>
      <c r="N113" s="97"/>
    </row>
    <row r="114" spans="2:14" s="581" customFormat="1" ht="15" customHeight="1" x14ac:dyDescent="0.2">
      <c r="B114" s="1011" t="s">
        <v>942</v>
      </c>
      <c r="C114" s="593">
        <v>5</v>
      </c>
      <c r="D114" s="598" t="s">
        <v>885</v>
      </c>
      <c r="E114" s="639" t="s">
        <v>955</v>
      </c>
      <c r="F114" s="654"/>
      <c r="G114" s="654"/>
      <c r="H114" s="654"/>
      <c r="I114" s="654"/>
      <c r="J114" s="654"/>
      <c r="K114" s="654"/>
      <c r="L114" s="654"/>
      <c r="M114" s="655"/>
      <c r="N114" s="97"/>
    </row>
    <row r="115" spans="2:14" s="581" customFormat="1" ht="15" customHeight="1" x14ac:dyDescent="0.2">
      <c r="B115" s="1011" t="s">
        <v>943</v>
      </c>
      <c r="C115" s="593">
        <v>1</v>
      </c>
      <c r="D115" s="598" t="s">
        <v>885</v>
      </c>
      <c r="E115" s="639" t="s">
        <v>955</v>
      </c>
      <c r="F115" s="654"/>
      <c r="G115" s="654"/>
      <c r="H115" s="654"/>
      <c r="I115" s="654"/>
      <c r="J115" s="654"/>
      <c r="K115" s="654"/>
      <c r="L115" s="654"/>
      <c r="M115" s="655"/>
      <c r="N115" s="97"/>
    </row>
    <row r="116" spans="2:14" s="581" customFormat="1" ht="14.25" customHeight="1" x14ac:dyDescent="0.2">
      <c r="B116" s="1011" t="s">
        <v>943</v>
      </c>
      <c r="C116" s="603">
        <v>10</v>
      </c>
      <c r="D116" s="1201" t="s">
        <v>885</v>
      </c>
      <c r="E116" s="639" t="s">
        <v>955</v>
      </c>
      <c r="F116" s="645"/>
      <c r="G116" s="645"/>
      <c r="H116" s="645"/>
      <c r="I116" s="645"/>
      <c r="J116" s="645"/>
      <c r="K116" s="645"/>
      <c r="L116" s="645"/>
      <c r="M116" s="646"/>
      <c r="N116" s="97"/>
    </row>
    <row r="117" spans="2:14" s="581" customFormat="1" ht="15" customHeight="1" x14ac:dyDescent="0.2">
      <c r="B117" s="1010" t="s">
        <v>942</v>
      </c>
      <c r="C117" s="593">
        <v>100</v>
      </c>
      <c r="D117" s="598" t="s">
        <v>885</v>
      </c>
      <c r="E117" s="639" t="s">
        <v>955</v>
      </c>
      <c r="F117" s="640"/>
      <c r="G117" s="640"/>
      <c r="H117" s="640"/>
      <c r="I117" s="640"/>
      <c r="J117" s="640"/>
      <c r="K117" s="640"/>
      <c r="L117" s="640"/>
      <c r="M117" s="641"/>
      <c r="N117" s="97"/>
    </row>
    <row r="118" spans="2:14" s="581" customFormat="1" ht="15" customHeight="1" x14ac:dyDescent="0.2">
      <c r="B118" s="1011" t="s">
        <v>944</v>
      </c>
      <c r="C118" s="603">
        <v>150</v>
      </c>
      <c r="D118" s="1201" t="s">
        <v>885</v>
      </c>
      <c r="E118" s="644" t="s">
        <v>956</v>
      </c>
      <c r="F118" s="645"/>
      <c r="G118" s="645"/>
      <c r="H118" s="645"/>
      <c r="I118" s="645"/>
      <c r="J118" s="645"/>
      <c r="K118" s="645"/>
      <c r="L118" s="645"/>
      <c r="M118" s="646"/>
      <c r="N118" s="97"/>
    </row>
    <row r="119" spans="2:14" s="581" customFormat="1" ht="15" customHeight="1" x14ac:dyDescent="0.2">
      <c r="B119" s="1010" t="s">
        <v>945</v>
      </c>
      <c r="C119" s="603">
        <v>10</v>
      </c>
      <c r="D119" s="1201" t="s">
        <v>885</v>
      </c>
      <c r="E119" s="639" t="s">
        <v>955</v>
      </c>
      <c r="F119" s="640"/>
      <c r="G119" s="640"/>
      <c r="H119" s="640"/>
      <c r="I119" s="640"/>
      <c r="J119" s="640"/>
      <c r="K119" s="640"/>
      <c r="L119" s="640"/>
      <c r="M119" s="641"/>
      <c r="N119" s="97"/>
    </row>
    <row r="120" spans="2:14" s="581" customFormat="1" ht="15" customHeight="1" x14ac:dyDescent="0.2">
      <c r="B120" s="1008" t="s">
        <v>938</v>
      </c>
      <c r="C120" s="603">
        <v>20</v>
      </c>
      <c r="D120" s="1201" t="s">
        <v>885</v>
      </c>
      <c r="E120" s="673"/>
      <c r="F120" s="671"/>
      <c r="G120" s="671"/>
      <c r="H120" s="671"/>
      <c r="I120" s="671"/>
      <c r="J120" s="671"/>
      <c r="K120" s="671"/>
      <c r="L120" s="671"/>
      <c r="M120" s="672"/>
      <c r="N120" s="97"/>
    </row>
    <row r="121" spans="2:14" s="581" customFormat="1" ht="15" customHeight="1" x14ac:dyDescent="0.2">
      <c r="B121" s="1009"/>
      <c r="C121" s="603">
        <v>30</v>
      </c>
      <c r="D121" s="1201" t="s">
        <v>885</v>
      </c>
      <c r="E121" s="656"/>
      <c r="F121" s="657"/>
      <c r="G121" s="657"/>
      <c r="H121" s="657"/>
      <c r="I121" s="657"/>
      <c r="J121" s="657"/>
      <c r="K121" s="657"/>
      <c r="L121" s="657"/>
      <c r="M121" s="658"/>
      <c r="N121" s="97"/>
    </row>
    <row r="122" spans="2:14" s="581" customFormat="1" ht="15" customHeight="1" x14ac:dyDescent="0.2">
      <c r="B122" s="1009" t="s">
        <v>946</v>
      </c>
      <c r="C122" s="603">
        <v>1</v>
      </c>
      <c r="D122" s="1201" t="s">
        <v>885</v>
      </c>
      <c r="E122" s="639" t="s">
        <v>955</v>
      </c>
      <c r="F122" s="657"/>
      <c r="G122" s="657"/>
      <c r="H122" s="657"/>
      <c r="I122" s="657"/>
      <c r="J122" s="657"/>
      <c r="K122" s="657"/>
      <c r="L122" s="657"/>
      <c r="M122" s="658"/>
      <c r="N122" s="97"/>
    </row>
    <row r="123" spans="2:14" s="581" customFormat="1" ht="15" customHeight="1" x14ac:dyDescent="0.2">
      <c r="B123" s="1010" t="s">
        <v>946</v>
      </c>
      <c r="C123" s="603">
        <v>10</v>
      </c>
      <c r="D123" s="1201" t="s">
        <v>885</v>
      </c>
      <c r="E123" s="639" t="s">
        <v>955</v>
      </c>
      <c r="F123" s="674"/>
      <c r="G123" s="674"/>
      <c r="H123" s="674"/>
      <c r="I123" s="674"/>
      <c r="J123" s="674"/>
      <c r="K123" s="674"/>
      <c r="L123" s="674"/>
      <c r="M123" s="675"/>
      <c r="N123" s="97"/>
    </row>
    <row r="124" spans="2:14" s="581" customFormat="1" ht="15" customHeight="1" x14ac:dyDescent="0.2">
      <c r="B124" s="1008"/>
      <c r="C124" s="603">
        <v>25</v>
      </c>
      <c r="D124" s="1201" t="s">
        <v>885</v>
      </c>
      <c r="E124" s="673"/>
      <c r="F124" s="671"/>
      <c r="G124" s="671"/>
      <c r="H124" s="671"/>
      <c r="I124" s="671"/>
      <c r="J124" s="671"/>
      <c r="K124" s="671"/>
      <c r="L124" s="671"/>
      <c r="M124" s="672"/>
      <c r="N124" s="97"/>
    </row>
    <row r="125" spans="2:14" s="581" customFormat="1" ht="15" customHeight="1" x14ac:dyDescent="0.2">
      <c r="B125" s="1009"/>
      <c r="C125" s="603">
        <v>50</v>
      </c>
      <c r="D125" s="1201" t="s">
        <v>885</v>
      </c>
      <c r="E125" s="656"/>
      <c r="F125" s="657"/>
      <c r="G125" s="657"/>
      <c r="H125" s="657"/>
      <c r="I125" s="657"/>
      <c r="J125" s="657"/>
      <c r="K125" s="657"/>
      <c r="L125" s="657"/>
      <c r="M125" s="658"/>
      <c r="N125" s="97"/>
    </row>
    <row r="126" spans="2:14" s="581" customFormat="1" ht="15.75" x14ac:dyDescent="0.2">
      <c r="B126" s="1009" t="s">
        <v>947</v>
      </c>
      <c r="C126" s="603">
        <v>150</v>
      </c>
      <c r="D126" s="1201" t="s">
        <v>885</v>
      </c>
      <c r="E126" s="656" t="s">
        <v>957</v>
      </c>
      <c r="F126" s="657"/>
      <c r="G126" s="657"/>
      <c r="H126" s="657"/>
      <c r="I126" s="657"/>
      <c r="J126" s="657"/>
      <c r="K126" s="657"/>
      <c r="L126" s="657"/>
      <c r="M126" s="658"/>
      <c r="N126" s="97"/>
    </row>
    <row r="127" spans="2:14" s="581" customFormat="1" ht="15.75" x14ac:dyDescent="0.2">
      <c r="B127" s="1009" t="s">
        <v>948</v>
      </c>
      <c r="C127" s="603">
        <v>2</v>
      </c>
      <c r="D127" s="1201" t="s">
        <v>885</v>
      </c>
      <c r="E127" s="644" t="s">
        <v>956</v>
      </c>
      <c r="F127" s="657"/>
      <c r="G127" s="657"/>
      <c r="H127" s="657"/>
      <c r="I127" s="657"/>
      <c r="J127" s="657"/>
      <c r="K127" s="657"/>
      <c r="L127" s="657"/>
      <c r="M127" s="658"/>
      <c r="N127" s="97"/>
    </row>
    <row r="128" spans="2:14" s="581" customFormat="1" ht="15.75" x14ac:dyDescent="0.2">
      <c r="B128" s="1009" t="s">
        <v>949</v>
      </c>
      <c r="C128" s="603">
        <v>2</v>
      </c>
      <c r="D128" s="1201" t="s">
        <v>885</v>
      </c>
      <c r="E128" s="644" t="s">
        <v>956</v>
      </c>
      <c r="F128" s="657"/>
      <c r="G128" s="657"/>
      <c r="H128" s="657"/>
      <c r="I128" s="657"/>
      <c r="J128" s="657"/>
      <c r="K128" s="657"/>
      <c r="L128" s="657"/>
      <c r="M128" s="658"/>
      <c r="N128" s="97"/>
    </row>
    <row r="129" spans="2:15" s="581" customFormat="1" ht="15.75" x14ac:dyDescent="0.2">
      <c r="B129" s="1009" t="s">
        <v>950</v>
      </c>
      <c r="C129" s="603">
        <v>2</v>
      </c>
      <c r="D129" s="1201" t="s">
        <v>885</v>
      </c>
      <c r="E129" s="644" t="s">
        <v>956</v>
      </c>
      <c r="F129" s="657"/>
      <c r="G129" s="657"/>
      <c r="H129" s="657"/>
      <c r="I129" s="657"/>
      <c r="J129" s="657"/>
      <c r="K129" s="657"/>
      <c r="L129" s="657"/>
      <c r="M129" s="658"/>
      <c r="N129" s="97"/>
    </row>
    <row r="130" spans="2:15" s="581" customFormat="1" ht="30" customHeight="1" x14ac:dyDescent="0.2">
      <c r="B130" s="1009" t="s">
        <v>951</v>
      </c>
      <c r="C130" s="603">
        <v>100</v>
      </c>
      <c r="D130" s="1201" t="s">
        <v>885</v>
      </c>
      <c r="E130" s="656" t="s">
        <v>959</v>
      </c>
      <c r="F130" s="657"/>
      <c r="G130" s="657"/>
      <c r="H130" s="657"/>
      <c r="I130" s="657"/>
      <c r="J130" s="657"/>
      <c r="K130" s="657"/>
      <c r="L130" s="657"/>
      <c r="M130" s="658"/>
      <c r="N130" s="97"/>
    </row>
    <row r="131" spans="2:15" s="581" customFormat="1" ht="15" customHeight="1" x14ac:dyDescent="0.2">
      <c r="B131" s="1009" t="s">
        <v>952</v>
      </c>
      <c r="C131" s="603">
        <v>10</v>
      </c>
      <c r="D131" s="1201" t="s">
        <v>885</v>
      </c>
      <c r="E131" s="656" t="s">
        <v>958</v>
      </c>
      <c r="F131" s="657"/>
      <c r="G131" s="657"/>
      <c r="H131" s="657"/>
      <c r="I131" s="657"/>
      <c r="J131" s="657"/>
      <c r="K131" s="657"/>
      <c r="L131" s="657"/>
      <c r="M131" s="658"/>
      <c r="N131" s="97"/>
    </row>
    <row r="132" spans="2:15" s="97" customFormat="1" ht="15.75" x14ac:dyDescent="0.25">
      <c r="B132" s="899" t="s">
        <v>892</v>
      </c>
      <c r="C132" s="900"/>
      <c r="D132" s="909"/>
      <c r="E132" s="901"/>
      <c r="F132" s="902"/>
      <c r="G132" s="900"/>
      <c r="H132" s="903"/>
      <c r="I132" s="904"/>
      <c r="J132" s="905"/>
      <c r="K132" s="906"/>
      <c r="L132" s="905"/>
      <c r="M132" s="908"/>
    </row>
    <row r="133" spans="2:15" s="97" customFormat="1" ht="30.2" customHeight="1" x14ac:dyDescent="0.2">
      <c r="B133" s="103" t="s">
        <v>1172</v>
      </c>
      <c r="C133" s="129" t="s">
        <v>1173</v>
      </c>
      <c r="D133" s="108"/>
      <c r="E133" s="1519" t="s">
        <v>1389</v>
      </c>
      <c r="F133" s="1520"/>
      <c r="G133" s="1520"/>
      <c r="H133" s="1520"/>
      <c r="I133" s="1520"/>
      <c r="J133" s="1520"/>
      <c r="K133" s="1520"/>
      <c r="L133" s="1520"/>
      <c r="M133" s="1521"/>
    </row>
    <row r="134" spans="2:15" s="97" customFormat="1" ht="30.2" customHeight="1" x14ac:dyDescent="0.2">
      <c r="B134" s="103" t="s">
        <v>1174</v>
      </c>
      <c r="C134" s="129" t="s">
        <v>270</v>
      </c>
      <c r="D134" s="108"/>
      <c r="E134" s="1519" t="s">
        <v>1389</v>
      </c>
      <c r="F134" s="1520"/>
      <c r="G134" s="1520"/>
      <c r="H134" s="1520"/>
      <c r="I134" s="1520"/>
      <c r="J134" s="1520"/>
      <c r="K134" s="1520"/>
      <c r="L134" s="1520"/>
      <c r="M134" s="1521"/>
    </row>
    <row r="135" spans="2:15" s="581" customFormat="1" ht="30.2" customHeight="1" x14ac:dyDescent="0.2">
      <c r="B135" s="1228" t="s">
        <v>1175</v>
      </c>
      <c r="C135" s="593">
        <v>100</v>
      </c>
      <c r="D135" s="582" t="s">
        <v>885</v>
      </c>
      <c r="E135" s="998">
        <v>41418</v>
      </c>
      <c r="F135" s="1076">
        <v>1171.2</v>
      </c>
      <c r="G135" s="582" t="s">
        <v>885</v>
      </c>
      <c r="H135" s="1098" t="s">
        <v>1415</v>
      </c>
      <c r="I135" s="1234"/>
      <c r="J135" s="1129">
        <f>F135+C135</f>
        <v>1271.2</v>
      </c>
      <c r="K135" s="582" t="s">
        <v>885</v>
      </c>
      <c r="L135" s="599">
        <f>J135-$C$7</f>
        <v>78.700000000000045</v>
      </c>
      <c r="M135" s="1235" t="s">
        <v>885</v>
      </c>
    </row>
    <row r="136" spans="2:15" s="581" customFormat="1" ht="30.2" customHeight="1" x14ac:dyDescent="0.2">
      <c r="B136" s="1083" t="s">
        <v>1177</v>
      </c>
      <c r="C136" s="593">
        <v>500</v>
      </c>
      <c r="D136" s="582" t="s">
        <v>885</v>
      </c>
      <c r="E136" s="1214">
        <v>41418</v>
      </c>
      <c r="F136" s="1076">
        <v>1171.2</v>
      </c>
      <c r="G136" s="582" t="s">
        <v>885</v>
      </c>
      <c r="H136" s="1231" t="s">
        <v>1415</v>
      </c>
      <c r="I136" s="1234"/>
      <c r="J136" s="1129">
        <f>F136+C136</f>
        <v>1671.2</v>
      </c>
      <c r="K136" s="582" t="s">
        <v>885</v>
      </c>
      <c r="L136" s="599">
        <f>J136-$C$7</f>
        <v>478.70000000000005</v>
      </c>
      <c r="M136" s="1235" t="s">
        <v>885</v>
      </c>
    </row>
    <row r="137" spans="2:15" s="581" customFormat="1" ht="30.2" customHeight="1" thickBot="1" x14ac:dyDescent="0.25">
      <c r="B137" s="1122" t="s">
        <v>1176</v>
      </c>
      <c r="C137" s="1123">
        <v>1250</v>
      </c>
      <c r="D137" s="632" t="s">
        <v>885</v>
      </c>
      <c r="E137" s="1149">
        <v>39290</v>
      </c>
      <c r="F137" s="631">
        <v>0</v>
      </c>
      <c r="G137" s="632" t="s">
        <v>885</v>
      </c>
      <c r="H137" s="1150" t="s">
        <v>1185</v>
      </c>
      <c r="I137" s="1151"/>
      <c r="J137" s="1152">
        <f>F137+C137</f>
        <v>1250</v>
      </c>
      <c r="K137" s="632" t="s">
        <v>885</v>
      </c>
      <c r="L137" s="1153">
        <f>J137-$C$7</f>
        <v>57.5</v>
      </c>
      <c r="M137" s="1154" t="s">
        <v>885</v>
      </c>
      <c r="N137" s="1518" t="str">
        <f>IF(L137&lt;=30,"ALERTA","")</f>
        <v/>
      </c>
      <c r="O137" s="1504"/>
    </row>
    <row r="138" spans="2:15" s="97" customFormat="1" ht="15.75" customHeight="1" x14ac:dyDescent="0.25">
      <c r="B138" s="899" t="s">
        <v>893</v>
      </c>
      <c r="C138" s="900"/>
      <c r="D138" s="909"/>
      <c r="E138" s="901"/>
      <c r="F138" s="902"/>
      <c r="G138" s="900"/>
      <c r="H138" s="903"/>
      <c r="I138" s="904"/>
      <c r="J138" s="905"/>
      <c r="K138" s="906"/>
      <c r="L138" s="905"/>
      <c r="M138" s="908"/>
    </row>
    <row r="139" spans="2:15" s="97" customFormat="1" ht="31.9" customHeight="1" x14ac:dyDescent="0.2">
      <c r="B139" s="103" t="s">
        <v>1172</v>
      </c>
      <c r="C139" s="129" t="s">
        <v>1173</v>
      </c>
      <c r="D139" s="108"/>
      <c r="E139" s="1519" t="s">
        <v>1389</v>
      </c>
      <c r="F139" s="1520"/>
      <c r="G139" s="1520"/>
      <c r="H139" s="1520"/>
      <c r="I139" s="1520"/>
      <c r="J139" s="1520"/>
      <c r="K139" s="1520"/>
      <c r="L139" s="1520"/>
      <c r="M139" s="1521"/>
    </row>
    <row r="140" spans="2:15" s="97" customFormat="1" ht="31.9" customHeight="1" x14ac:dyDescent="0.2">
      <c r="B140" s="103" t="s">
        <v>1174</v>
      </c>
      <c r="C140" s="129" t="s">
        <v>270</v>
      </c>
      <c r="D140" s="108"/>
      <c r="E140" s="1519" t="s">
        <v>1389</v>
      </c>
      <c r="F140" s="1520"/>
      <c r="G140" s="1520"/>
      <c r="H140" s="1520"/>
      <c r="I140" s="1520"/>
      <c r="J140" s="1520"/>
      <c r="K140" s="1520"/>
      <c r="L140" s="1520"/>
      <c r="M140" s="1521"/>
    </row>
    <row r="141" spans="2:15" s="581" customFormat="1" ht="31.9" customHeight="1" x14ac:dyDescent="0.2">
      <c r="B141" s="1083" t="s">
        <v>1175</v>
      </c>
      <c r="C141" s="593">
        <v>100</v>
      </c>
      <c r="D141" s="582" t="s">
        <v>885</v>
      </c>
      <c r="E141" s="998">
        <v>41418</v>
      </c>
      <c r="F141" s="1076">
        <v>1171.2</v>
      </c>
      <c r="G141" s="582" t="s">
        <v>885</v>
      </c>
      <c r="H141" s="1098" t="s">
        <v>1415</v>
      </c>
      <c r="I141" s="1234"/>
      <c r="J141" s="1129">
        <f>F141+C141</f>
        <v>1271.2</v>
      </c>
      <c r="K141" s="582" t="s">
        <v>885</v>
      </c>
      <c r="L141" s="1236">
        <f>J141-$C$7</f>
        <v>78.700000000000045</v>
      </c>
      <c r="M141" s="1235" t="s">
        <v>885</v>
      </c>
      <c r="N141" s="1518" t="str">
        <f>IF(L141&lt;=30,"ALERTA","")</f>
        <v/>
      </c>
      <c r="O141" s="1504"/>
    </row>
    <row r="142" spans="2:15" s="581" customFormat="1" ht="31.9" customHeight="1" x14ac:dyDescent="0.2">
      <c r="B142" s="1083" t="s">
        <v>1177</v>
      </c>
      <c r="C142" s="593">
        <v>500</v>
      </c>
      <c r="D142" s="582" t="s">
        <v>885</v>
      </c>
      <c r="E142" s="1214">
        <v>41418</v>
      </c>
      <c r="F142" s="1076">
        <v>1171.2</v>
      </c>
      <c r="G142" s="582" t="s">
        <v>885</v>
      </c>
      <c r="H142" s="1231" t="s">
        <v>1415</v>
      </c>
      <c r="I142" s="1234"/>
      <c r="J142" s="1129">
        <f>F142+C142</f>
        <v>1671.2</v>
      </c>
      <c r="K142" s="582" t="s">
        <v>885</v>
      </c>
      <c r="L142" s="1236">
        <f>J142-$C$7</f>
        <v>478.70000000000005</v>
      </c>
      <c r="M142" s="1235" t="s">
        <v>885</v>
      </c>
      <c r="N142" s="1518" t="str">
        <f>IF(L142&lt;=30,"ALERTA","")</f>
        <v/>
      </c>
      <c r="O142" s="1504"/>
    </row>
    <row r="143" spans="2:15" s="581" customFormat="1" ht="31.9" customHeight="1" thickBot="1" x14ac:dyDescent="0.25">
      <c r="B143" s="1083" t="s">
        <v>1176</v>
      </c>
      <c r="C143" s="593">
        <v>1250</v>
      </c>
      <c r="D143" s="582" t="s">
        <v>885</v>
      </c>
      <c r="E143" s="1149">
        <v>39290</v>
      </c>
      <c r="F143" s="631">
        <v>0</v>
      </c>
      <c r="G143" s="632" t="s">
        <v>885</v>
      </c>
      <c r="H143" s="1150" t="s">
        <v>1185</v>
      </c>
      <c r="I143" s="1155"/>
      <c r="J143" s="1156">
        <f>F143+C143</f>
        <v>1250</v>
      </c>
      <c r="K143" s="1148" t="s">
        <v>885</v>
      </c>
      <c r="L143" s="1157">
        <f>J143-$C$7</f>
        <v>57.5</v>
      </c>
      <c r="M143" s="1154" t="s">
        <v>885</v>
      </c>
    </row>
    <row r="144" spans="2:15" s="97" customFormat="1" ht="15.75" x14ac:dyDescent="0.25">
      <c r="B144" s="891" t="s">
        <v>138</v>
      </c>
      <c r="C144" s="910"/>
      <c r="D144" s="910"/>
      <c r="E144" s="911"/>
      <c r="F144" s="912"/>
      <c r="G144" s="910"/>
      <c r="H144" s="896"/>
      <c r="I144" s="894"/>
      <c r="J144" s="913"/>
      <c r="K144" s="914"/>
      <c r="L144" s="913"/>
      <c r="M144" s="915"/>
    </row>
    <row r="145" spans="2:15" s="97" customFormat="1" ht="15.95" customHeight="1" x14ac:dyDescent="0.2">
      <c r="B145" s="1487" t="s">
        <v>274</v>
      </c>
      <c r="C145" s="131">
        <v>2500</v>
      </c>
      <c r="D145" s="132" t="s">
        <v>885</v>
      </c>
      <c r="E145" s="1528">
        <v>40667</v>
      </c>
      <c r="F145" s="1530">
        <v>692.25</v>
      </c>
      <c r="G145" s="1532" t="s">
        <v>885</v>
      </c>
      <c r="H145" s="1534" t="s">
        <v>1184</v>
      </c>
      <c r="I145" s="1491">
        <f>E145+(365*4)</f>
        <v>42127</v>
      </c>
      <c r="J145" s="1511">
        <f>F145+C145</f>
        <v>3192.25</v>
      </c>
      <c r="K145" s="1513" t="s">
        <v>885</v>
      </c>
      <c r="L145" s="130">
        <f>J145-$C$7</f>
        <v>1999.75</v>
      </c>
      <c r="M145" s="125" t="s">
        <v>885</v>
      </c>
      <c r="N145" s="97" t="str">
        <f t="shared" ref="N145:N152" si="3">IF(L:L&lt;=30,"ALERTA","")</f>
        <v/>
      </c>
    </row>
    <row r="146" spans="2:15" s="97" customFormat="1" ht="15.95" customHeight="1" x14ac:dyDescent="0.2">
      <c r="B146" s="1488"/>
      <c r="C146" s="127">
        <v>48</v>
      </c>
      <c r="D146" s="128" t="s">
        <v>880</v>
      </c>
      <c r="E146" s="1529"/>
      <c r="F146" s="1531"/>
      <c r="G146" s="1533"/>
      <c r="H146" s="1535"/>
      <c r="I146" s="1492"/>
      <c r="J146" s="1512"/>
      <c r="K146" s="1514"/>
      <c r="L146" s="580">
        <f>I145-$L$9</f>
        <v>678</v>
      </c>
      <c r="M146" s="126" t="s">
        <v>906</v>
      </c>
      <c r="N146" s="1505" t="str">
        <f t="shared" si="3"/>
        <v/>
      </c>
      <c r="O146" s="1506"/>
    </row>
    <row r="147" spans="2:15" s="581" customFormat="1" ht="15.95" customHeight="1" x14ac:dyDescent="0.2">
      <c r="B147" s="1487" t="s">
        <v>272</v>
      </c>
      <c r="C147" s="1099">
        <v>500</v>
      </c>
      <c r="D147" s="1100" t="s">
        <v>885</v>
      </c>
      <c r="E147" s="1489">
        <v>41418</v>
      </c>
      <c r="F147" s="1483">
        <v>1171.2</v>
      </c>
      <c r="G147" s="1485" t="s">
        <v>885</v>
      </c>
      <c r="H147" s="1479" t="s">
        <v>1415</v>
      </c>
      <c r="I147" s="1522">
        <f>E147+730</f>
        <v>42148</v>
      </c>
      <c r="J147" s="1509">
        <f>F147+C147+50</f>
        <v>1721.2</v>
      </c>
      <c r="K147" s="1477" t="s">
        <v>885</v>
      </c>
      <c r="L147" s="1124">
        <f>J147-$C$7</f>
        <v>528.70000000000005</v>
      </c>
      <c r="M147" s="638" t="s">
        <v>885</v>
      </c>
      <c r="N147" s="581" t="str">
        <f t="shared" si="3"/>
        <v/>
      </c>
    </row>
    <row r="148" spans="2:15" s="581" customFormat="1" ht="15.95" customHeight="1" x14ac:dyDescent="0.2">
      <c r="B148" s="1488"/>
      <c r="C148" s="1101">
        <v>24</v>
      </c>
      <c r="D148" s="1102" t="s">
        <v>880</v>
      </c>
      <c r="E148" s="1490"/>
      <c r="F148" s="1484"/>
      <c r="G148" s="1486"/>
      <c r="H148" s="1480"/>
      <c r="I148" s="1523"/>
      <c r="J148" s="1510"/>
      <c r="K148" s="1478"/>
      <c r="L148" s="1125">
        <f>I147-$L$9</f>
        <v>699</v>
      </c>
      <c r="M148" s="680" t="s">
        <v>906</v>
      </c>
      <c r="N148" s="1503" t="str">
        <f t="shared" si="3"/>
        <v/>
      </c>
      <c r="O148" s="1504"/>
    </row>
    <row r="149" spans="2:15" s="581" customFormat="1" ht="15.95" customHeight="1" x14ac:dyDescent="0.2">
      <c r="B149" s="1487" t="s">
        <v>273</v>
      </c>
      <c r="C149" s="1099">
        <v>500</v>
      </c>
      <c r="D149" s="1100" t="s">
        <v>885</v>
      </c>
      <c r="E149" s="1489">
        <v>41418</v>
      </c>
      <c r="F149" s="1483">
        <v>1171.2</v>
      </c>
      <c r="G149" s="1485" t="s">
        <v>885</v>
      </c>
      <c r="H149" s="1479" t="s">
        <v>1415</v>
      </c>
      <c r="I149" s="1522">
        <f>E147+730</f>
        <v>42148</v>
      </c>
      <c r="J149" s="1509">
        <f>F147+C147+50</f>
        <v>1721.2</v>
      </c>
      <c r="K149" s="1477" t="s">
        <v>885</v>
      </c>
      <c r="L149" s="1124">
        <f>J147-$C$7</f>
        <v>528.70000000000005</v>
      </c>
      <c r="M149" s="638" t="s">
        <v>885</v>
      </c>
      <c r="N149" s="581" t="str">
        <f t="shared" si="3"/>
        <v/>
      </c>
    </row>
    <row r="150" spans="2:15" s="581" customFormat="1" ht="15.95" customHeight="1" x14ac:dyDescent="0.2">
      <c r="B150" s="1488"/>
      <c r="C150" s="1101">
        <v>24</v>
      </c>
      <c r="D150" s="1102" t="s">
        <v>880</v>
      </c>
      <c r="E150" s="1490"/>
      <c r="F150" s="1484"/>
      <c r="G150" s="1486"/>
      <c r="H150" s="1480"/>
      <c r="I150" s="1523"/>
      <c r="J150" s="1510"/>
      <c r="K150" s="1478"/>
      <c r="L150" s="1125">
        <f>I149-$L$9</f>
        <v>699</v>
      </c>
      <c r="M150" s="680" t="s">
        <v>906</v>
      </c>
      <c r="N150" s="1503" t="str">
        <f t="shared" si="3"/>
        <v/>
      </c>
      <c r="O150" s="1504"/>
    </row>
    <row r="151" spans="2:15" s="581" customFormat="1" ht="15.95" customHeight="1" x14ac:dyDescent="0.2">
      <c r="B151" s="1487" t="s">
        <v>275</v>
      </c>
      <c r="C151" s="1099">
        <v>500</v>
      </c>
      <c r="D151" s="1100" t="s">
        <v>885</v>
      </c>
      <c r="E151" s="1489">
        <v>41418</v>
      </c>
      <c r="F151" s="1483">
        <v>1171.2</v>
      </c>
      <c r="G151" s="1485" t="s">
        <v>885</v>
      </c>
      <c r="H151" s="1479" t="s">
        <v>1415</v>
      </c>
      <c r="I151" s="1522">
        <f>E149+(365*2)</f>
        <v>42148</v>
      </c>
      <c r="J151" s="1509">
        <f>F151+C151+50</f>
        <v>1721.2</v>
      </c>
      <c r="K151" s="1477" t="s">
        <v>885</v>
      </c>
      <c r="L151" s="1124">
        <f>J151-$C$7</f>
        <v>528.70000000000005</v>
      </c>
      <c r="M151" s="638" t="s">
        <v>885</v>
      </c>
      <c r="N151" s="581" t="str">
        <f t="shared" si="3"/>
        <v/>
      </c>
    </row>
    <row r="152" spans="2:15" s="581" customFormat="1" ht="15.95" customHeight="1" thickBot="1" x14ac:dyDescent="0.25">
      <c r="B152" s="1488"/>
      <c r="C152" s="1101">
        <v>24</v>
      </c>
      <c r="D152" s="1102" t="s">
        <v>880</v>
      </c>
      <c r="E152" s="1490"/>
      <c r="F152" s="1484"/>
      <c r="G152" s="1486"/>
      <c r="H152" s="1480"/>
      <c r="I152" s="1523"/>
      <c r="J152" s="1510"/>
      <c r="K152" s="1478"/>
      <c r="L152" s="1125">
        <f>I151-$L$9</f>
        <v>699</v>
      </c>
      <c r="M152" s="680" t="s">
        <v>906</v>
      </c>
      <c r="N152" s="581" t="str">
        <f t="shared" si="3"/>
        <v/>
      </c>
    </row>
    <row r="153" spans="2:15" s="97" customFormat="1" ht="15.75" x14ac:dyDescent="0.25">
      <c r="B153" s="891" t="s">
        <v>139</v>
      </c>
      <c r="C153" s="914"/>
      <c r="D153" s="910"/>
      <c r="E153" s="911"/>
      <c r="F153" s="912"/>
      <c r="G153" s="910"/>
      <c r="H153" s="896"/>
      <c r="I153" s="894"/>
      <c r="J153" s="897"/>
      <c r="K153" s="910"/>
      <c r="L153" s="916"/>
      <c r="M153" s="917"/>
    </row>
    <row r="154" spans="2:15" s="581" customFormat="1" ht="30.2" customHeight="1" x14ac:dyDescent="0.2">
      <c r="B154" s="1083" t="s">
        <v>1403</v>
      </c>
      <c r="C154" s="593">
        <v>12</v>
      </c>
      <c r="D154" s="582" t="s">
        <v>880</v>
      </c>
      <c r="E154" s="1084">
        <v>41294</v>
      </c>
      <c r="F154" s="1076">
        <v>1091.2</v>
      </c>
      <c r="G154" s="582"/>
      <c r="H154" s="1098" t="s">
        <v>1404</v>
      </c>
      <c r="I154" s="1110">
        <f>E154+365</f>
        <v>41659</v>
      </c>
      <c r="J154" s="607"/>
      <c r="K154" s="1111"/>
      <c r="L154" s="1112">
        <f>I154-$L$9</f>
        <v>210</v>
      </c>
      <c r="M154" s="600" t="s">
        <v>906</v>
      </c>
      <c r="N154" s="1503" t="str">
        <f>IF(L:L&lt;=30,"ALERTA","")</f>
        <v/>
      </c>
      <c r="O154" s="1504"/>
    </row>
    <row r="155" spans="2:15" s="581" customFormat="1" ht="30.2" customHeight="1" x14ac:dyDescent="0.2">
      <c r="B155" s="1083" t="s">
        <v>688</v>
      </c>
      <c r="C155" s="593">
        <v>100</v>
      </c>
      <c r="D155" s="582" t="s">
        <v>885</v>
      </c>
      <c r="E155" s="1130">
        <v>41350</v>
      </c>
      <c r="F155" s="1076">
        <v>1138.5999999999999</v>
      </c>
      <c r="G155" s="582" t="s">
        <v>885</v>
      </c>
      <c r="H155" s="1098" t="s">
        <v>1410</v>
      </c>
      <c r="I155" s="596"/>
      <c r="J155" s="1129">
        <f>F155+C155</f>
        <v>1238.5999999999999</v>
      </c>
      <c r="K155" s="582" t="s">
        <v>885</v>
      </c>
      <c r="L155" s="599">
        <f>J155-$C$7</f>
        <v>46.099999999999909</v>
      </c>
      <c r="M155" s="600" t="s">
        <v>885</v>
      </c>
      <c r="N155" s="1503" t="str">
        <f>IF(L:L&lt;=30,"ALERTA","")</f>
        <v/>
      </c>
      <c r="O155" s="1504"/>
    </row>
    <row r="156" spans="2:15" s="97" customFormat="1" ht="30.2" customHeight="1" x14ac:dyDescent="0.2">
      <c r="B156" s="292"/>
      <c r="C156" s="293"/>
      <c r="D156" s="292"/>
      <c r="E156" s="294"/>
      <c r="F156" s="295"/>
      <c r="G156" s="296"/>
      <c r="H156" s="297"/>
      <c r="I156" s="298"/>
      <c r="J156" s="136"/>
      <c r="K156" s="133"/>
      <c r="L156" s="136"/>
      <c r="M156" s="299"/>
    </row>
    <row r="157" spans="2:15" s="97" customFormat="1" ht="30.2" customHeight="1" x14ac:dyDescent="0.2">
      <c r="B157" s="292"/>
      <c r="C157" s="293"/>
      <c r="D157" s="292"/>
      <c r="E157" s="294"/>
      <c r="F157" s="295"/>
      <c r="G157" s="296"/>
      <c r="H157" s="297"/>
      <c r="I157" s="298"/>
      <c r="J157" s="136"/>
      <c r="K157" s="133"/>
      <c r="L157" s="136"/>
      <c r="M157" s="299"/>
    </row>
    <row r="158" spans="2:15" s="97" customFormat="1" ht="30.2" customHeight="1" x14ac:dyDescent="0.2">
      <c r="B158" s="292"/>
      <c r="C158" s="293"/>
      <c r="D158" s="292"/>
      <c r="E158" s="294"/>
      <c r="F158" s="295"/>
      <c r="G158" s="296"/>
      <c r="H158" s="297"/>
      <c r="I158" s="298"/>
      <c r="J158" s="136"/>
      <c r="K158" s="133"/>
      <c r="L158" s="136"/>
      <c r="M158" s="299"/>
    </row>
    <row r="159" spans="2:15" s="97" customFormat="1" ht="30.2" customHeight="1" x14ac:dyDescent="0.2">
      <c r="B159" s="292"/>
      <c r="C159" s="293"/>
      <c r="D159" s="292"/>
      <c r="E159" s="294"/>
      <c r="F159" s="295"/>
      <c r="G159" s="296"/>
      <c r="H159" s="297"/>
      <c r="I159" s="298"/>
      <c r="J159" s="136"/>
      <c r="K159" s="133"/>
      <c r="L159" s="136"/>
      <c r="M159" s="299"/>
    </row>
    <row r="160" spans="2:15" s="97" customFormat="1" ht="30.2" customHeight="1" x14ac:dyDescent="0.2">
      <c r="B160" s="292"/>
      <c r="C160" s="293"/>
      <c r="D160" s="292"/>
      <c r="E160" s="294"/>
      <c r="F160" s="295"/>
      <c r="G160" s="296"/>
      <c r="H160" s="297"/>
      <c r="I160" s="298"/>
      <c r="J160" s="136"/>
      <c r="K160" s="133"/>
      <c r="L160" s="136"/>
      <c r="M160" s="299"/>
    </row>
    <row r="161" spans="2:13" s="97" customFormat="1" ht="30.2" customHeight="1" x14ac:dyDescent="0.2">
      <c r="B161" s="292"/>
      <c r="C161" s="293"/>
      <c r="D161" s="292"/>
      <c r="E161" s="294"/>
      <c r="F161" s="295"/>
      <c r="G161" s="296"/>
      <c r="H161" s="297"/>
      <c r="I161" s="298"/>
      <c r="J161" s="136"/>
      <c r="K161" s="133"/>
      <c r="L161" s="136"/>
      <c r="M161" s="299"/>
    </row>
    <row r="162" spans="2:13" s="97" customFormat="1" ht="30.2" customHeight="1" x14ac:dyDescent="0.2">
      <c r="B162" s="292"/>
      <c r="C162" s="293"/>
      <c r="D162" s="292"/>
      <c r="E162" s="294"/>
      <c r="F162" s="295"/>
      <c r="G162" s="296"/>
      <c r="H162" s="297"/>
      <c r="I162" s="298"/>
      <c r="J162" s="136"/>
      <c r="K162" s="133"/>
      <c r="L162" s="136"/>
      <c r="M162" s="299"/>
    </row>
    <row r="163" spans="2:13" s="97" customFormat="1" ht="30.2" customHeight="1" x14ac:dyDescent="0.2">
      <c r="B163" s="292"/>
      <c r="C163" s="293"/>
      <c r="D163" s="292"/>
      <c r="E163" s="294"/>
      <c r="F163" s="295"/>
      <c r="G163" s="296"/>
      <c r="H163" s="297"/>
      <c r="I163" s="298"/>
      <c r="J163" s="136"/>
      <c r="K163" s="133"/>
      <c r="L163" s="136"/>
      <c r="M163" s="299"/>
    </row>
    <row r="164" spans="2:13" s="133" customFormat="1" x14ac:dyDescent="0.2">
      <c r="D164" s="134"/>
      <c r="E164" s="135"/>
      <c r="J164" s="136"/>
      <c r="L164" s="136"/>
    </row>
    <row r="165" spans="2:13" s="133" customFormat="1" x14ac:dyDescent="0.2">
      <c r="D165" s="134"/>
      <c r="E165" s="135"/>
      <c r="J165" s="136"/>
      <c r="L165" s="136"/>
    </row>
    <row r="166" spans="2:13" s="133" customFormat="1" x14ac:dyDescent="0.2">
      <c r="D166" s="134"/>
      <c r="E166" s="135"/>
      <c r="J166" s="136"/>
      <c r="L166" s="136"/>
    </row>
    <row r="167" spans="2:13" s="133" customFormat="1" x14ac:dyDescent="0.2">
      <c r="D167" s="134"/>
      <c r="E167" s="135"/>
      <c r="J167" s="136"/>
      <c r="L167" s="136"/>
    </row>
    <row r="168" spans="2:13" s="133" customFormat="1" x14ac:dyDescent="0.2">
      <c r="D168" s="134"/>
      <c r="E168" s="135"/>
      <c r="J168" s="136"/>
      <c r="L168" s="136"/>
    </row>
    <row r="169" spans="2:13" s="133" customFormat="1" x14ac:dyDescent="0.2">
      <c r="D169" s="134"/>
      <c r="E169" s="135"/>
      <c r="J169" s="136"/>
      <c r="L169" s="136"/>
    </row>
    <row r="170" spans="2:13" s="133" customFormat="1" x14ac:dyDescent="0.2">
      <c r="D170" s="134"/>
      <c r="E170" s="135"/>
      <c r="J170" s="136"/>
      <c r="L170" s="136"/>
    </row>
  </sheetData>
  <autoFilter ref="B13:M155"/>
  <mergeCells count="231">
    <mergeCell ref="I61:I62"/>
    <mergeCell ref="E40:E41"/>
    <mergeCell ref="F40:G41"/>
    <mergeCell ref="F38:F39"/>
    <mergeCell ref="G38:G39"/>
    <mergeCell ref="B40:B41"/>
    <mergeCell ref="H40:H41"/>
    <mergeCell ref="H38:H39"/>
    <mergeCell ref="I38:I39"/>
    <mergeCell ref="B50:B51"/>
    <mergeCell ref="E50:E51"/>
    <mergeCell ref="F50:F51"/>
    <mergeCell ref="G50:G51"/>
    <mergeCell ref="H50:H51"/>
    <mergeCell ref="I40:I41"/>
    <mergeCell ref="B64:B65"/>
    <mergeCell ref="E64:E65"/>
    <mergeCell ref="F64:F65"/>
    <mergeCell ref="G64:G65"/>
    <mergeCell ref="H64:H65"/>
    <mergeCell ref="E57:E58"/>
    <mergeCell ref="B61:B62"/>
    <mergeCell ref="E61:E62"/>
    <mergeCell ref="F61:F62"/>
    <mergeCell ref="G61:G62"/>
    <mergeCell ref="H61:H62"/>
    <mergeCell ref="J24:J25"/>
    <mergeCell ref="K24:K25"/>
    <mergeCell ref="K32:K33"/>
    <mergeCell ref="B32:B33"/>
    <mergeCell ref="E32:E33"/>
    <mergeCell ref="F32:F33"/>
    <mergeCell ref="G32:G33"/>
    <mergeCell ref="H32:H33"/>
    <mergeCell ref="I32:I33"/>
    <mergeCell ref="J32:J33"/>
    <mergeCell ref="B28:B29"/>
    <mergeCell ref="E28:E29"/>
    <mergeCell ref="F28:F29"/>
    <mergeCell ref="G28:G29"/>
    <mergeCell ref="H28:H29"/>
    <mergeCell ref="I28:I29"/>
    <mergeCell ref="J28:J29"/>
    <mergeCell ref="K28:K29"/>
    <mergeCell ref="J40:J41"/>
    <mergeCell ref="K40:K41"/>
    <mergeCell ref="B38:B39"/>
    <mergeCell ref="E38:E39"/>
    <mergeCell ref="G48:G49"/>
    <mergeCell ref="H48:H49"/>
    <mergeCell ref="H42:H43"/>
    <mergeCell ref="I42:I43"/>
    <mergeCell ref="J42:J43"/>
    <mergeCell ref="K38:K39"/>
    <mergeCell ref="J38:J39"/>
    <mergeCell ref="K42:K43"/>
    <mergeCell ref="B42:B43"/>
    <mergeCell ref="E42:E43"/>
    <mergeCell ref="F42:F43"/>
    <mergeCell ref="G42:G43"/>
    <mergeCell ref="B44:B45"/>
    <mergeCell ref="E44:E45"/>
    <mergeCell ref="F44:F45"/>
    <mergeCell ref="G44:G45"/>
    <mergeCell ref="H44:H45"/>
    <mergeCell ref="I44:I45"/>
    <mergeCell ref="J44:J45"/>
    <mergeCell ref="K44:K45"/>
    <mergeCell ref="E36:M36"/>
    <mergeCell ref="A2:M2"/>
    <mergeCell ref="A3:M3"/>
    <mergeCell ref="A4:M4"/>
    <mergeCell ref="B6:D6"/>
    <mergeCell ref="F12:G12"/>
    <mergeCell ref="J12:K12"/>
    <mergeCell ref="I20:I21"/>
    <mergeCell ref="J20:J21"/>
    <mergeCell ref="K20:K21"/>
    <mergeCell ref="E20:E21"/>
    <mergeCell ref="F20:F21"/>
    <mergeCell ref="G20:G21"/>
    <mergeCell ref="H20:H21"/>
    <mergeCell ref="B20:B21"/>
    <mergeCell ref="F15:G15"/>
    <mergeCell ref="E17:M17"/>
    <mergeCell ref="E18:M18"/>
    <mergeCell ref="B24:B25"/>
    <mergeCell ref="E24:E25"/>
    <mergeCell ref="F24:F25"/>
    <mergeCell ref="G24:G25"/>
    <mergeCell ref="H24:H25"/>
    <mergeCell ref="I24:I25"/>
    <mergeCell ref="N6:O6"/>
    <mergeCell ref="C7:D7"/>
    <mergeCell ref="L9:M9"/>
    <mergeCell ref="C8:D8"/>
    <mergeCell ref="B10:M10"/>
    <mergeCell ref="B11:B12"/>
    <mergeCell ref="C11:D11"/>
    <mergeCell ref="E11:H11"/>
    <mergeCell ref="I11:K11"/>
    <mergeCell ref="L11:M12"/>
    <mergeCell ref="L7:M7"/>
    <mergeCell ref="L8:M8"/>
    <mergeCell ref="B147:B148"/>
    <mergeCell ref="E147:E148"/>
    <mergeCell ref="F147:F148"/>
    <mergeCell ref="G147:G148"/>
    <mergeCell ref="H147:H148"/>
    <mergeCell ref="I147:I148"/>
    <mergeCell ref="J147:J148"/>
    <mergeCell ref="B145:B146"/>
    <mergeCell ref="E145:E146"/>
    <mergeCell ref="F145:F146"/>
    <mergeCell ref="G145:G146"/>
    <mergeCell ref="H145:H146"/>
    <mergeCell ref="I145:I146"/>
    <mergeCell ref="J149:J150"/>
    <mergeCell ref="K149:K150"/>
    <mergeCell ref="I77:I78"/>
    <mergeCell ref="F66:F67"/>
    <mergeCell ref="G75:G76"/>
    <mergeCell ref="H75:H76"/>
    <mergeCell ref="K75:K76"/>
    <mergeCell ref="E69:M69"/>
    <mergeCell ref="E77:E78"/>
    <mergeCell ref="E75:E76"/>
    <mergeCell ref="E134:M134"/>
    <mergeCell ref="E139:M139"/>
    <mergeCell ref="E140:M140"/>
    <mergeCell ref="G66:G67"/>
    <mergeCell ref="H66:H67"/>
    <mergeCell ref="I66:I67"/>
    <mergeCell ref="E66:E67"/>
    <mergeCell ref="B149:B150"/>
    <mergeCell ref="E149:E150"/>
    <mergeCell ref="F149:F150"/>
    <mergeCell ref="G149:G150"/>
    <mergeCell ref="H149:H150"/>
    <mergeCell ref="I149:I150"/>
    <mergeCell ref="B151:B152"/>
    <mergeCell ref="E151:E152"/>
    <mergeCell ref="F151:F152"/>
    <mergeCell ref="G151:G152"/>
    <mergeCell ref="H151:H152"/>
    <mergeCell ref="I151:I152"/>
    <mergeCell ref="N155:O155"/>
    <mergeCell ref="N154:O154"/>
    <mergeCell ref="J151:J152"/>
    <mergeCell ref="K151:K152"/>
    <mergeCell ref="K147:K148"/>
    <mergeCell ref="J145:J146"/>
    <mergeCell ref="K145:K146"/>
    <mergeCell ref="N72:O72"/>
    <mergeCell ref="N73:O73"/>
    <mergeCell ref="I87:M87"/>
    <mergeCell ref="N141:O141"/>
    <mergeCell ref="N81:O81"/>
    <mergeCell ref="J77:J78"/>
    <mergeCell ref="K77:K78"/>
    <mergeCell ref="N142:O142"/>
    <mergeCell ref="N146:O146"/>
    <mergeCell ref="N148:O148"/>
    <mergeCell ref="N150:O150"/>
    <mergeCell ref="I73:I74"/>
    <mergeCell ref="I75:I76"/>
    <mergeCell ref="J75:J76"/>
    <mergeCell ref="I103:M103"/>
    <mergeCell ref="N137:O137"/>
    <mergeCell ref="E133:M133"/>
    <mergeCell ref="N49:O49"/>
    <mergeCell ref="N53:O53"/>
    <mergeCell ref="N60:O60"/>
    <mergeCell ref="N70:O70"/>
    <mergeCell ref="N71:O71"/>
    <mergeCell ref="J48:J49"/>
    <mergeCell ref="K48:K49"/>
    <mergeCell ref="I64:I65"/>
    <mergeCell ref="J64:J65"/>
    <mergeCell ref="K64:K65"/>
    <mergeCell ref="N69:O69"/>
    <mergeCell ref="I55:I56"/>
    <mergeCell ref="J55:J56"/>
    <mergeCell ref="K57:K58"/>
    <mergeCell ref="J57:J58"/>
    <mergeCell ref="K61:K62"/>
    <mergeCell ref="J66:J67"/>
    <mergeCell ref="K66:K67"/>
    <mergeCell ref="I48:I49"/>
    <mergeCell ref="J52:J53"/>
    <mergeCell ref="K52:K53"/>
    <mergeCell ref="K59:K60"/>
    <mergeCell ref="K55:K56"/>
    <mergeCell ref="I50:I51"/>
    <mergeCell ref="K50:K51"/>
    <mergeCell ref="B48:B49"/>
    <mergeCell ref="E48:E49"/>
    <mergeCell ref="B55:B56"/>
    <mergeCell ref="E55:E56"/>
    <mergeCell ref="F55:F56"/>
    <mergeCell ref="B52:B53"/>
    <mergeCell ref="E52:E53"/>
    <mergeCell ref="F48:F49"/>
    <mergeCell ref="F52:F53"/>
    <mergeCell ref="G52:G53"/>
    <mergeCell ref="H52:H53"/>
    <mergeCell ref="I52:I53"/>
    <mergeCell ref="B77:B78"/>
    <mergeCell ref="G55:G56"/>
    <mergeCell ref="H55:H56"/>
    <mergeCell ref="J50:J51"/>
    <mergeCell ref="F77:F78"/>
    <mergeCell ref="G77:G78"/>
    <mergeCell ref="H77:H78"/>
    <mergeCell ref="F75:F76"/>
    <mergeCell ref="B75:B76"/>
    <mergeCell ref="H57:H58"/>
    <mergeCell ref="B59:B60"/>
    <mergeCell ref="E59:E60"/>
    <mergeCell ref="F59:F60"/>
    <mergeCell ref="G59:G60"/>
    <mergeCell ref="H59:H60"/>
    <mergeCell ref="I59:I60"/>
    <mergeCell ref="J59:J60"/>
    <mergeCell ref="B57:B58"/>
    <mergeCell ref="I57:I58"/>
    <mergeCell ref="F57:F58"/>
    <mergeCell ref="G57:G58"/>
    <mergeCell ref="B66:B67"/>
    <mergeCell ref="B73:B74"/>
    <mergeCell ref="J61:J62"/>
  </mergeCells>
  <conditionalFormatting sqref="L154:L155 L141:L143 L42:L46 L135:L137 L48:L68 L22:L34 L75:L80 L82:L83 L72 L145:L152 L37:L39 L15">
    <cfRule type="cellIs" dxfId="28" priority="58" stopIfTrue="1" operator="lessThan">
      <formula>10</formula>
    </cfRule>
  </conditionalFormatting>
  <conditionalFormatting sqref="N1:N83 N132:N65537">
    <cfRule type="containsText" dxfId="27" priority="36" stopIfTrue="1" operator="containsText" text="ALERTA">
      <formula>NOT(ISERROR(SEARCH("ALERTA",N1)))</formula>
    </cfRule>
    <cfRule type="containsText" dxfId="26" priority="39" stopIfTrue="1" operator="containsText" text="ALERTA">
      <formula>NOT(ISERROR(SEARCH("ALERTA",N1)))</formula>
    </cfRule>
  </conditionalFormatting>
  <conditionalFormatting sqref="L154:L155 L141:L143 L42:L46 L135:L137 L48:L68 L22:L34 L75:L80 L82:L83 L72 L145:L152 L37:L39 L15">
    <cfRule type="cellIs" dxfId="25" priority="38" stopIfTrue="1" operator="lessThan">
      <formula>31</formula>
    </cfRule>
  </conditionalFormatting>
  <conditionalFormatting sqref="N84:N131">
    <cfRule type="containsText" dxfId="24" priority="5" stopIfTrue="1" operator="containsText" text="ALERTA">
      <formula>NOT(ISERROR(SEARCH("ALERTA",N84)))</formula>
    </cfRule>
    <cfRule type="containsText" dxfId="23" priority="6" stopIfTrue="1" operator="containsText" text="ALERTA">
      <formula>NOT(ISERROR(SEARCH("ALERTA",N84)))</formula>
    </cfRule>
  </conditionalFormatting>
  <conditionalFormatting sqref="L40">
    <cfRule type="cellIs" dxfId="22" priority="4" stopIfTrue="1" operator="lessThan">
      <formula>10</formula>
    </cfRule>
  </conditionalFormatting>
  <conditionalFormatting sqref="L40">
    <cfRule type="cellIs" dxfId="21" priority="3" stopIfTrue="1" operator="lessThan">
      <formula>31</formula>
    </cfRule>
  </conditionalFormatting>
  <conditionalFormatting sqref="L41">
    <cfRule type="cellIs" dxfId="20" priority="2" stopIfTrue="1" operator="lessThan">
      <formula>10</formula>
    </cfRule>
  </conditionalFormatting>
  <conditionalFormatting sqref="L41">
    <cfRule type="cellIs" dxfId="19" priority="1" stopIfTrue="1" operator="lessThan">
      <formula>31</formula>
    </cfRule>
  </conditionalFormatting>
  <pageMargins left="0.761811024" right="0.118110236220472" top="0.55118110236220497" bottom="0.55118110236220497" header="0.31496062992126" footer="0.23622047244094499"/>
  <pageSetup paperSize="119" scale="75" orientation="portrait" r:id="rId1"/>
  <headerFooter>
    <oddFooter>&amp;LPrinted: &amp;D&amp;CPágina &amp;P de &amp;N&amp;RInaer Helicopter Chile S.A.
Ingeniería y Control</oddFooter>
  </headerFooter>
  <rowBreaks count="1" manualBreakCount="1">
    <brk id="131" min="1" max="12" man="1"/>
  </rowBreaks>
  <colBreaks count="1" manualBreakCount="1">
    <brk id="13" max="167" man="1"/>
  </colBreaks>
  <ignoredErrors>
    <ignoredError sqref="L3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2"/>
  <sheetViews>
    <sheetView showGridLines="0" zoomScaleNormal="100" workbookViewId="0">
      <selection activeCell="Q45" sqref="Q45"/>
    </sheetView>
  </sheetViews>
  <sheetFormatPr defaultColWidth="11" defaultRowHeight="12.75" x14ac:dyDescent="0.2"/>
  <cols>
    <col min="1" max="1" width="0.85546875" style="83" customWidth="1"/>
    <col min="2" max="2" width="31.140625" style="83" customWidth="1"/>
    <col min="3" max="3" width="5.5703125" style="84" customWidth="1"/>
    <col min="4" max="4" width="6.140625" style="85" bestFit="1" customWidth="1"/>
    <col min="5" max="5" width="12" style="86" customWidth="1"/>
    <col min="6" max="6" width="8.28515625" style="84" customWidth="1"/>
    <col min="7" max="7" width="5.28515625" style="83" customWidth="1"/>
    <col min="8" max="8" width="15.28515625" style="83" bestFit="1" customWidth="1"/>
    <col min="9" max="9" width="11.28515625" style="83" customWidth="1"/>
    <col min="10" max="10" width="9.42578125" style="87" bestFit="1" customWidth="1"/>
    <col min="11" max="11" width="4.5703125" style="83" customWidth="1"/>
    <col min="12" max="12" width="8" style="87" customWidth="1"/>
    <col min="13" max="13" width="4.85546875" style="83" customWidth="1"/>
    <col min="14" max="14" width="6.42578125" style="83" customWidth="1"/>
    <col min="15" max="15" width="8.7109375" style="83" customWidth="1"/>
    <col min="16" max="16" width="11.140625" style="83" bestFit="1" customWidth="1"/>
    <col min="17" max="16384" width="11" style="83"/>
  </cols>
  <sheetData>
    <row r="2" spans="1:15" ht="15.75" x14ac:dyDescent="0.25">
      <c r="A2" s="1561" t="s">
        <v>83</v>
      </c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</row>
    <row r="3" spans="1:15" ht="15.75" x14ac:dyDescent="0.25">
      <c r="A3" s="1561" t="s">
        <v>1384</v>
      </c>
      <c r="B3" s="1561"/>
      <c r="C3" s="1561"/>
      <c r="D3" s="1561"/>
      <c r="E3" s="1561"/>
      <c r="F3" s="1561"/>
      <c r="G3" s="1561"/>
      <c r="H3" s="1561"/>
      <c r="I3" s="1561"/>
      <c r="J3" s="1561"/>
      <c r="K3" s="1561"/>
      <c r="L3" s="1561"/>
      <c r="M3" s="1561"/>
    </row>
    <row r="4" spans="1:15" ht="15.75" x14ac:dyDescent="0.2">
      <c r="A4" s="1562" t="s">
        <v>1279</v>
      </c>
      <c r="B4" s="1562"/>
      <c r="C4" s="1562"/>
      <c r="D4" s="1562"/>
      <c r="E4" s="1562"/>
      <c r="F4" s="1562"/>
      <c r="G4" s="1562"/>
      <c r="H4" s="1562"/>
      <c r="I4" s="1562"/>
      <c r="J4" s="1562"/>
      <c r="K4" s="1562"/>
      <c r="L4" s="1562"/>
      <c r="M4" s="1562"/>
    </row>
    <row r="5" spans="1:15" x14ac:dyDescent="0.2">
      <c r="B5" s="88"/>
      <c r="C5" s="89"/>
      <c r="D5" s="90"/>
      <c r="E5" s="88"/>
      <c r="F5" s="89"/>
      <c r="G5" s="88"/>
      <c r="H5" s="88"/>
      <c r="I5" s="88"/>
      <c r="J5" s="91"/>
      <c r="K5" s="88"/>
      <c r="L5" s="91"/>
      <c r="M5" s="88"/>
    </row>
    <row r="6" spans="1:15" s="92" customFormat="1" ht="15.75" x14ac:dyDescent="0.25">
      <c r="B6" s="1548" t="s">
        <v>1335</v>
      </c>
      <c r="C6" s="1563"/>
      <c r="D6" s="1564"/>
      <c r="E6" s="872" t="s">
        <v>1337</v>
      </c>
      <c r="F6" s="873"/>
      <c r="G6" s="873"/>
      <c r="H6" s="874"/>
      <c r="I6" s="872" t="s">
        <v>1336</v>
      </c>
      <c r="J6" s="870"/>
      <c r="K6" s="875"/>
      <c r="L6" s="876"/>
      <c r="M6" s="877"/>
      <c r="N6" s="1536"/>
      <c r="O6" s="1536"/>
    </row>
    <row r="7" spans="1:15" s="92" customFormat="1" ht="15.75" x14ac:dyDescent="0.25">
      <c r="B7" s="857" t="s">
        <v>133</v>
      </c>
      <c r="C7" s="1595">
        <f>Id!B11</f>
        <v>1192.5</v>
      </c>
      <c r="D7" s="1538"/>
      <c r="E7" s="859" t="s">
        <v>134</v>
      </c>
      <c r="F7" s="860"/>
      <c r="G7" s="861"/>
      <c r="H7" s="1210">
        <f>Id!B20</f>
        <v>1192.5</v>
      </c>
      <c r="I7" s="859" t="s">
        <v>134</v>
      </c>
      <c r="J7" s="865"/>
      <c r="K7" s="866"/>
      <c r="L7" s="1596">
        <f>Id!E20</f>
        <v>1192.5</v>
      </c>
      <c r="M7" s="1555"/>
    </row>
    <row r="8" spans="1:15" s="92" customFormat="1" ht="15.75" x14ac:dyDescent="0.25">
      <c r="B8" s="858" t="s">
        <v>135</v>
      </c>
      <c r="C8" s="1541">
        <f>Id!E11</f>
        <v>3532</v>
      </c>
      <c r="D8" s="1542"/>
      <c r="E8" s="862" t="s">
        <v>1306</v>
      </c>
      <c r="F8" s="863"/>
      <c r="G8" s="864"/>
      <c r="H8" s="231">
        <f>Id!B22</f>
        <v>904.85</v>
      </c>
      <c r="I8" s="862" t="s">
        <v>1306</v>
      </c>
      <c r="J8" s="867"/>
      <c r="K8" s="868"/>
      <c r="L8" s="1556">
        <f>Id!E22</f>
        <v>955.25</v>
      </c>
      <c r="M8" s="1557"/>
    </row>
    <row r="9" spans="1:15" s="92" customFormat="1" ht="15.75" x14ac:dyDescent="0.25">
      <c r="B9" s="1206"/>
      <c r="C9" s="1206"/>
      <c r="D9" s="1206"/>
      <c r="E9" s="229"/>
      <c r="F9" s="94"/>
      <c r="G9" s="94"/>
      <c r="H9" s="230"/>
      <c r="I9" s="869" t="s">
        <v>269</v>
      </c>
      <c r="J9" s="870"/>
      <c r="K9" s="871"/>
      <c r="L9" s="1539">
        <f>Id!E3</f>
        <v>41449</v>
      </c>
      <c r="M9" s="1540"/>
    </row>
    <row r="10" spans="1:15" s="92" customFormat="1" ht="15.75" x14ac:dyDescent="0.25">
      <c r="B10" s="1543"/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96"/>
    </row>
    <row r="11" spans="1:15" s="92" customFormat="1" ht="15.75" x14ac:dyDescent="0.25">
      <c r="B11" s="1544" t="s">
        <v>86</v>
      </c>
      <c r="C11" s="1544" t="s">
        <v>87</v>
      </c>
      <c r="D11" s="1546"/>
      <c r="E11" s="1547" t="s">
        <v>88</v>
      </c>
      <c r="F11" s="1547"/>
      <c r="G11" s="1547"/>
      <c r="H11" s="1548"/>
      <c r="I11" s="1549" t="s">
        <v>891</v>
      </c>
      <c r="J11" s="1547"/>
      <c r="K11" s="1547"/>
      <c r="L11" s="1550" t="s">
        <v>89</v>
      </c>
      <c r="M11" s="1551"/>
    </row>
    <row r="12" spans="1:15" s="92" customFormat="1" ht="16.5" thickBot="1" x14ac:dyDescent="0.3">
      <c r="B12" s="1545"/>
      <c r="C12" s="878"/>
      <c r="D12" s="879"/>
      <c r="E12" s="1202" t="s">
        <v>82</v>
      </c>
      <c r="F12" s="1565" t="s">
        <v>90</v>
      </c>
      <c r="G12" s="1565"/>
      <c r="H12" s="881" t="s">
        <v>91</v>
      </c>
      <c r="I12" s="882" t="s">
        <v>82</v>
      </c>
      <c r="J12" s="1565" t="s">
        <v>90</v>
      </c>
      <c r="K12" s="1565"/>
      <c r="L12" s="1552"/>
      <c r="M12" s="1553"/>
    </row>
    <row r="13" spans="1:15" s="92" customFormat="1" ht="16.5" thickBot="1" x14ac:dyDescent="0.3">
      <c r="B13" s="918"/>
      <c r="C13" s="919"/>
      <c r="D13" s="920"/>
      <c r="E13" s="921"/>
      <c r="F13" s="921"/>
      <c r="G13" s="921"/>
      <c r="H13" s="921"/>
      <c r="I13" s="922"/>
      <c r="J13" s="921"/>
      <c r="K13" s="921"/>
      <c r="L13" s="923"/>
      <c r="M13" s="924"/>
    </row>
    <row r="14" spans="1:15" s="97" customFormat="1" ht="15.75" x14ac:dyDescent="0.25">
      <c r="B14" s="1575" t="s">
        <v>1349</v>
      </c>
      <c r="C14" s="1576"/>
      <c r="D14" s="1576"/>
      <c r="E14" s="1576"/>
      <c r="F14" s="1576"/>
      <c r="G14" s="1576"/>
      <c r="H14" s="1576"/>
      <c r="I14" s="1576"/>
      <c r="J14" s="1576"/>
      <c r="K14" s="1576"/>
      <c r="L14" s="1576"/>
      <c r="M14" s="1577"/>
    </row>
    <row r="15" spans="1:15" s="97" customFormat="1" ht="15.75" x14ac:dyDescent="0.2">
      <c r="B15" s="1579" t="s">
        <v>1376</v>
      </c>
      <c r="C15" s="601">
        <v>3</v>
      </c>
      <c r="D15" s="1028" t="s">
        <v>880</v>
      </c>
      <c r="E15" s="1597" t="s">
        <v>1380</v>
      </c>
      <c r="F15" s="1598"/>
      <c r="G15" s="1598"/>
      <c r="H15" s="1598"/>
      <c r="I15" s="1598"/>
      <c r="J15" s="1598"/>
      <c r="K15" s="1598"/>
      <c r="L15" s="1598"/>
      <c r="M15" s="1599"/>
      <c r="N15" s="96"/>
      <c r="O15" s="96"/>
    </row>
    <row r="16" spans="1:15" s="97" customFormat="1" ht="16.5" thickBot="1" x14ac:dyDescent="0.25">
      <c r="B16" s="1580"/>
      <c r="C16" s="603">
        <v>50</v>
      </c>
      <c r="D16" s="1148" t="s">
        <v>897</v>
      </c>
      <c r="E16" s="1600"/>
      <c r="F16" s="1601"/>
      <c r="G16" s="1601"/>
      <c r="H16" s="1601"/>
      <c r="I16" s="1601"/>
      <c r="J16" s="1601"/>
      <c r="K16" s="1601"/>
      <c r="L16" s="1601"/>
      <c r="M16" s="1602"/>
      <c r="N16" s="96"/>
      <c r="O16" s="96"/>
    </row>
    <row r="17" spans="2:15" s="97" customFormat="1" ht="15.75" x14ac:dyDescent="0.25">
      <c r="B17" s="1575" t="s">
        <v>1350</v>
      </c>
      <c r="C17" s="1576"/>
      <c r="D17" s="1576"/>
      <c r="E17" s="1576"/>
      <c r="F17" s="1576"/>
      <c r="G17" s="1576"/>
      <c r="H17" s="1576"/>
      <c r="I17" s="1576"/>
      <c r="J17" s="1576"/>
      <c r="K17" s="1576"/>
      <c r="L17" s="1576"/>
      <c r="M17" s="1577"/>
      <c r="N17" s="96"/>
      <c r="O17" s="96"/>
    </row>
    <row r="18" spans="2:15" s="97" customFormat="1" ht="15.75" x14ac:dyDescent="0.25">
      <c r="B18" s="1049" t="s">
        <v>1354</v>
      </c>
      <c r="C18" s="1035"/>
      <c r="D18" s="1036"/>
      <c r="E18" s="1037"/>
      <c r="F18" s="1038"/>
      <c r="G18" s="1039"/>
      <c r="H18" s="1040"/>
      <c r="I18" s="1037"/>
      <c r="J18" s="1041"/>
      <c r="K18" s="1036"/>
      <c r="L18" s="1042"/>
      <c r="M18" s="1050"/>
      <c r="N18" s="96"/>
      <c r="O18" s="96"/>
    </row>
    <row r="19" spans="2:15" s="97" customFormat="1" ht="31.5" x14ac:dyDescent="0.2">
      <c r="B19" s="1051" t="s">
        <v>1377</v>
      </c>
      <c r="C19" s="1032" t="s">
        <v>1323</v>
      </c>
      <c r="D19" s="117"/>
      <c r="E19" s="1524" t="s">
        <v>1378</v>
      </c>
      <c r="F19" s="1526"/>
      <c r="G19" s="1526"/>
      <c r="H19" s="1526"/>
      <c r="I19" s="1526"/>
      <c r="J19" s="1526"/>
      <c r="K19" s="1526"/>
      <c r="L19" s="1526"/>
      <c r="M19" s="1527"/>
      <c r="N19" s="96"/>
      <c r="O19" s="96"/>
    </row>
    <row r="20" spans="2:15" s="97" customFormat="1" ht="15.75" x14ac:dyDescent="0.2">
      <c r="B20" s="1579" t="s">
        <v>1351</v>
      </c>
      <c r="C20" s="131">
        <v>10</v>
      </c>
      <c r="D20" s="132" t="s">
        <v>885</v>
      </c>
      <c r="E20" s="1581" t="s">
        <v>1372</v>
      </c>
      <c r="F20" s="1525"/>
      <c r="G20" s="1525"/>
      <c r="H20" s="1525"/>
      <c r="I20" s="1525"/>
      <c r="J20" s="1525"/>
      <c r="K20" s="1525"/>
      <c r="L20" s="1525"/>
      <c r="M20" s="1582"/>
      <c r="N20" s="96"/>
      <c r="O20" s="96"/>
    </row>
    <row r="21" spans="2:15" s="97" customFormat="1" ht="15.75" x14ac:dyDescent="0.2">
      <c r="B21" s="1580"/>
      <c r="C21" s="1033" t="s">
        <v>270</v>
      </c>
      <c r="D21" s="128"/>
      <c r="E21" s="1583"/>
      <c r="F21" s="1584"/>
      <c r="G21" s="1584"/>
      <c r="H21" s="1584"/>
      <c r="I21" s="1584"/>
      <c r="J21" s="1584"/>
      <c r="K21" s="1584"/>
      <c r="L21" s="1584"/>
      <c r="M21" s="1585"/>
      <c r="N21" s="96"/>
      <c r="O21" s="96"/>
    </row>
    <row r="22" spans="2:15" s="97" customFormat="1" ht="15.75" x14ac:dyDescent="0.2">
      <c r="B22" s="1579" t="s">
        <v>1352</v>
      </c>
      <c r="C22" s="131">
        <v>10</v>
      </c>
      <c r="D22" s="132" t="s">
        <v>885</v>
      </c>
      <c r="E22" s="1581" t="s">
        <v>1372</v>
      </c>
      <c r="F22" s="1525"/>
      <c r="G22" s="1525"/>
      <c r="H22" s="1525"/>
      <c r="I22" s="1525"/>
      <c r="J22" s="1525"/>
      <c r="K22" s="1525"/>
      <c r="L22" s="1525"/>
      <c r="M22" s="1582"/>
      <c r="N22" s="96"/>
      <c r="O22" s="96"/>
    </row>
    <row r="23" spans="2:15" s="97" customFormat="1" ht="15.75" x14ac:dyDescent="0.2">
      <c r="B23" s="1580"/>
      <c r="C23" s="1033" t="s">
        <v>270</v>
      </c>
      <c r="D23" s="128"/>
      <c r="E23" s="1583"/>
      <c r="F23" s="1584"/>
      <c r="G23" s="1584"/>
      <c r="H23" s="1584"/>
      <c r="I23" s="1584"/>
      <c r="J23" s="1584"/>
      <c r="K23" s="1584"/>
      <c r="L23" s="1584"/>
      <c r="M23" s="1585"/>
      <c r="N23" s="96"/>
      <c r="O23" s="96"/>
    </row>
    <row r="24" spans="2:15" s="581" customFormat="1" ht="31.5" x14ac:dyDescent="0.2">
      <c r="B24" s="1237" t="s">
        <v>1352</v>
      </c>
      <c r="C24" s="601">
        <v>600</v>
      </c>
      <c r="D24" s="1225" t="s">
        <v>885</v>
      </c>
      <c r="E24" s="1002">
        <v>41418</v>
      </c>
      <c r="F24" s="1212">
        <v>1171.2</v>
      </c>
      <c r="G24" s="1213" t="s">
        <v>885</v>
      </c>
      <c r="H24" s="1217" t="s">
        <v>1415</v>
      </c>
      <c r="I24" s="1218"/>
      <c r="J24" s="1229">
        <f>F24+C24</f>
        <v>1771.2</v>
      </c>
      <c r="K24" s="1028" t="s">
        <v>885</v>
      </c>
      <c r="L24" s="1230">
        <f>J24-$C$7</f>
        <v>578.70000000000005</v>
      </c>
      <c r="M24" s="638" t="s">
        <v>885</v>
      </c>
      <c r="N24" s="840" t="str">
        <f>IF(L:L&lt;=30,"ALERTA","")</f>
        <v/>
      </c>
      <c r="O24" s="840"/>
    </row>
    <row r="25" spans="2:15" s="97" customFormat="1" ht="15.75" x14ac:dyDescent="0.2">
      <c r="B25" s="1579" t="s">
        <v>1353</v>
      </c>
      <c r="C25" s="131">
        <v>10</v>
      </c>
      <c r="D25" s="132" t="s">
        <v>885</v>
      </c>
      <c r="E25" s="1581" t="s">
        <v>1372</v>
      </c>
      <c r="F25" s="1525"/>
      <c r="G25" s="1525"/>
      <c r="H25" s="1525"/>
      <c r="I25" s="1525"/>
      <c r="J25" s="1525"/>
      <c r="K25" s="1525"/>
      <c r="L25" s="1525"/>
      <c r="M25" s="1582"/>
      <c r="N25" s="96"/>
      <c r="O25" s="96"/>
    </row>
    <row r="26" spans="2:15" s="97" customFormat="1" ht="15.75" x14ac:dyDescent="0.2">
      <c r="B26" s="1580"/>
      <c r="C26" s="1033" t="s">
        <v>270</v>
      </c>
      <c r="D26" s="128"/>
      <c r="E26" s="1583"/>
      <c r="F26" s="1584"/>
      <c r="G26" s="1584"/>
      <c r="H26" s="1584"/>
      <c r="I26" s="1584"/>
      <c r="J26" s="1584"/>
      <c r="K26" s="1584"/>
      <c r="L26" s="1584"/>
      <c r="M26" s="1585"/>
      <c r="N26" s="1586"/>
      <c r="O26" s="1587"/>
    </row>
    <row r="27" spans="2:15" s="97" customFormat="1" ht="15.75" x14ac:dyDescent="0.2">
      <c r="B27" s="1579" t="s">
        <v>1352</v>
      </c>
      <c r="C27" s="1588">
        <v>50</v>
      </c>
      <c r="D27" s="1589"/>
      <c r="E27" s="1581" t="s">
        <v>1422</v>
      </c>
      <c r="F27" s="1525"/>
      <c r="G27" s="1525"/>
      <c r="H27" s="1525"/>
      <c r="I27" s="1525"/>
      <c r="J27" s="1525"/>
      <c r="K27" s="1525"/>
      <c r="L27" s="1525"/>
      <c r="M27" s="1582"/>
      <c r="N27" s="96"/>
      <c r="O27" s="96"/>
    </row>
    <row r="28" spans="2:15" s="97" customFormat="1" ht="15.75" x14ac:dyDescent="0.2">
      <c r="B28" s="1580"/>
      <c r="C28" s="1590"/>
      <c r="D28" s="1591"/>
      <c r="E28" s="1583"/>
      <c r="F28" s="1584"/>
      <c r="G28" s="1584"/>
      <c r="H28" s="1584"/>
      <c r="I28" s="1584"/>
      <c r="J28" s="1584"/>
      <c r="K28" s="1584"/>
      <c r="L28" s="1584"/>
      <c r="M28" s="1585"/>
      <c r="N28" s="1586"/>
      <c r="O28" s="1587"/>
    </row>
    <row r="29" spans="2:15" s="97" customFormat="1" ht="15.75" x14ac:dyDescent="0.25">
      <c r="B29" s="1049" t="s">
        <v>1373</v>
      </c>
      <c r="C29" s="1035"/>
      <c r="D29" s="1036"/>
      <c r="E29" s="1037"/>
      <c r="F29" s="1038"/>
      <c r="G29" s="1039"/>
      <c r="H29" s="1040"/>
      <c r="I29" s="1037"/>
      <c r="J29" s="1041"/>
      <c r="K29" s="1036"/>
      <c r="L29" s="96"/>
      <c r="M29" s="1050"/>
      <c r="N29" s="96"/>
      <c r="O29" s="96"/>
    </row>
    <row r="30" spans="2:15" s="97" customFormat="1" ht="15.75" x14ac:dyDescent="0.2">
      <c r="B30" s="1579" t="s">
        <v>1355</v>
      </c>
      <c r="C30" s="131">
        <v>10</v>
      </c>
      <c r="D30" s="132" t="s">
        <v>885</v>
      </c>
      <c r="E30" s="1581" t="s">
        <v>1372</v>
      </c>
      <c r="F30" s="1525"/>
      <c r="G30" s="1525"/>
      <c r="H30" s="1525"/>
      <c r="I30" s="1525"/>
      <c r="J30" s="1525"/>
      <c r="K30" s="1525"/>
      <c r="L30" s="1525"/>
      <c r="M30" s="1582"/>
      <c r="N30" s="96"/>
      <c r="O30" s="96"/>
    </row>
    <row r="31" spans="2:15" s="97" customFormat="1" ht="15.75" x14ac:dyDescent="0.2">
      <c r="B31" s="1580"/>
      <c r="C31" s="1033" t="s">
        <v>270</v>
      </c>
      <c r="D31" s="128"/>
      <c r="E31" s="1583"/>
      <c r="F31" s="1584"/>
      <c r="G31" s="1584"/>
      <c r="H31" s="1584"/>
      <c r="I31" s="1584"/>
      <c r="J31" s="1584"/>
      <c r="K31" s="1584"/>
      <c r="L31" s="1584"/>
      <c r="M31" s="1585"/>
      <c r="N31" s="96"/>
      <c r="O31" s="96"/>
    </row>
    <row r="32" spans="2:15" s="97" customFormat="1" ht="15.75" x14ac:dyDescent="0.2">
      <c r="B32" s="1579" t="s">
        <v>1356</v>
      </c>
      <c r="C32" s="131">
        <v>10</v>
      </c>
      <c r="D32" s="132" t="s">
        <v>885</v>
      </c>
      <c r="E32" s="1581" t="s">
        <v>1372</v>
      </c>
      <c r="F32" s="1525"/>
      <c r="G32" s="1525"/>
      <c r="H32" s="1525"/>
      <c r="I32" s="1525"/>
      <c r="J32" s="1525"/>
      <c r="K32" s="1525"/>
      <c r="L32" s="1525"/>
      <c r="M32" s="1582"/>
      <c r="N32" s="96"/>
      <c r="O32" s="96"/>
    </row>
    <row r="33" spans="2:15" s="97" customFormat="1" ht="15.75" x14ac:dyDescent="0.2">
      <c r="B33" s="1580"/>
      <c r="C33" s="1033" t="s">
        <v>270</v>
      </c>
      <c r="D33" s="128"/>
      <c r="E33" s="1583"/>
      <c r="F33" s="1584"/>
      <c r="G33" s="1584"/>
      <c r="H33" s="1584"/>
      <c r="I33" s="1584"/>
      <c r="J33" s="1584"/>
      <c r="K33" s="1584"/>
      <c r="L33" s="1584"/>
      <c r="M33" s="1585"/>
      <c r="N33" s="1603"/>
      <c r="O33" s="1604"/>
    </row>
    <row r="34" spans="2:15" s="581" customFormat="1" ht="32.25" thickBot="1" x14ac:dyDescent="0.25">
      <c r="B34" s="1238" t="s">
        <v>1356</v>
      </c>
      <c r="C34" s="593">
        <v>100</v>
      </c>
      <c r="D34" s="1126" t="s">
        <v>885</v>
      </c>
      <c r="E34" s="998">
        <v>41418</v>
      </c>
      <c r="F34" s="1212">
        <v>1171.2</v>
      </c>
      <c r="G34" s="598" t="s">
        <v>885</v>
      </c>
      <c r="H34" s="595" t="s">
        <v>1415</v>
      </c>
      <c r="I34" s="596"/>
      <c r="J34" s="597">
        <f>F34+C34</f>
        <v>1271.2</v>
      </c>
      <c r="K34" s="598" t="s">
        <v>885</v>
      </c>
      <c r="L34" s="599">
        <f>J34-$C$7</f>
        <v>78.700000000000045</v>
      </c>
      <c r="M34" s="600" t="s">
        <v>885</v>
      </c>
      <c r="N34" s="840" t="str">
        <f>IF(L:L&lt;=30,"ALERTA","")</f>
        <v/>
      </c>
      <c r="O34" s="840"/>
    </row>
    <row r="35" spans="2:15" s="97" customFormat="1" ht="15.75" x14ac:dyDescent="0.25">
      <c r="B35" s="1575" t="s">
        <v>1357</v>
      </c>
      <c r="C35" s="1576"/>
      <c r="D35" s="1576"/>
      <c r="E35" s="1576"/>
      <c r="F35" s="1576"/>
      <c r="G35" s="1576"/>
      <c r="H35" s="1576"/>
      <c r="I35" s="1576"/>
      <c r="J35" s="1576"/>
      <c r="K35" s="1576"/>
      <c r="L35" s="1576"/>
      <c r="M35" s="1577"/>
      <c r="N35" s="96"/>
      <c r="O35" s="96"/>
    </row>
    <row r="36" spans="2:15" s="97" customFormat="1" ht="15.75" x14ac:dyDescent="0.25">
      <c r="B36" s="1049" t="s">
        <v>1358</v>
      </c>
      <c r="C36" s="1035"/>
      <c r="D36" s="1036"/>
      <c r="E36" s="1037"/>
      <c r="F36" s="1038"/>
      <c r="G36" s="1039"/>
      <c r="H36" s="1040"/>
      <c r="I36" s="1045"/>
      <c r="J36" s="1047"/>
      <c r="K36" s="1044"/>
      <c r="L36" s="1047"/>
      <c r="M36" s="1053"/>
      <c r="N36" s="96"/>
      <c r="O36" s="96"/>
    </row>
    <row r="37" spans="2:15" s="581" customFormat="1" ht="31.5" x14ac:dyDescent="0.2">
      <c r="B37" s="1239" t="s">
        <v>1359</v>
      </c>
      <c r="C37" s="1240">
        <v>25</v>
      </c>
      <c r="D37" s="1241" t="s">
        <v>885</v>
      </c>
      <c r="E37" s="998">
        <v>41418</v>
      </c>
      <c r="F37" s="1212">
        <v>1171.2</v>
      </c>
      <c r="G37" s="1213" t="s">
        <v>885</v>
      </c>
      <c r="H37" s="595" t="s">
        <v>1415</v>
      </c>
      <c r="I37" s="1218"/>
      <c r="J37" s="1219">
        <f>F37+C37</f>
        <v>1196.2</v>
      </c>
      <c r="K37" s="1213" t="s">
        <v>885</v>
      </c>
      <c r="L37" s="1242">
        <f>J37-$C$7</f>
        <v>3.7000000000000455</v>
      </c>
      <c r="M37" s="680" t="s">
        <v>885</v>
      </c>
      <c r="N37" s="840" t="str">
        <f>IF(L:L&lt;=10,"ALERTA","")</f>
        <v>ALERTA</v>
      </c>
      <c r="O37" s="840"/>
    </row>
    <row r="38" spans="2:15" s="97" customFormat="1" ht="15.75" x14ac:dyDescent="0.25">
      <c r="B38" s="1049" t="s">
        <v>1360</v>
      </c>
      <c r="C38" s="1035"/>
      <c r="D38" s="1036"/>
      <c r="E38" s="1037"/>
      <c r="F38" s="1038"/>
      <c r="G38" s="1039"/>
      <c r="H38" s="1040"/>
      <c r="I38" s="1037"/>
      <c r="J38" s="1041"/>
      <c r="K38" s="1036"/>
      <c r="L38" s="96"/>
      <c r="M38" s="1050"/>
      <c r="N38" s="96"/>
      <c r="O38" s="96"/>
    </row>
    <row r="39" spans="2:15" s="97" customFormat="1" ht="15.75" x14ac:dyDescent="0.2">
      <c r="B39" s="1579" t="s">
        <v>1361</v>
      </c>
      <c r="C39" s="131">
        <v>10</v>
      </c>
      <c r="D39" s="132" t="s">
        <v>885</v>
      </c>
      <c r="E39" s="1581" t="s">
        <v>1372</v>
      </c>
      <c r="F39" s="1525"/>
      <c r="G39" s="1525"/>
      <c r="H39" s="1525"/>
      <c r="I39" s="1525"/>
      <c r="J39" s="1525"/>
      <c r="K39" s="1525"/>
      <c r="L39" s="1525"/>
      <c r="M39" s="1582"/>
      <c r="N39" s="96"/>
      <c r="O39" s="96"/>
    </row>
    <row r="40" spans="2:15" s="97" customFormat="1" ht="15.75" x14ac:dyDescent="0.2">
      <c r="B40" s="1580"/>
      <c r="C40" s="1033" t="s">
        <v>270</v>
      </c>
      <c r="D40" s="128"/>
      <c r="E40" s="1583"/>
      <c r="F40" s="1584"/>
      <c r="G40" s="1584"/>
      <c r="H40" s="1584"/>
      <c r="I40" s="1584"/>
      <c r="J40" s="1584"/>
      <c r="K40" s="1584"/>
      <c r="L40" s="1584"/>
      <c r="M40" s="1585"/>
      <c r="N40" s="96"/>
      <c r="O40" s="96"/>
    </row>
    <row r="41" spans="2:15" s="97" customFormat="1" ht="15.75" x14ac:dyDescent="0.2">
      <c r="B41" s="1579" t="s">
        <v>1362</v>
      </c>
      <c r="C41" s="131">
        <v>10</v>
      </c>
      <c r="D41" s="132" t="s">
        <v>885</v>
      </c>
      <c r="E41" s="1581" t="s">
        <v>1372</v>
      </c>
      <c r="F41" s="1525"/>
      <c r="G41" s="1525"/>
      <c r="H41" s="1525"/>
      <c r="I41" s="1525"/>
      <c r="J41" s="1525"/>
      <c r="K41" s="1525"/>
      <c r="L41" s="1525"/>
      <c r="M41" s="1582"/>
      <c r="N41" s="96"/>
      <c r="O41" s="96"/>
    </row>
    <row r="42" spans="2:15" s="97" customFormat="1" ht="15.75" x14ac:dyDescent="0.2">
      <c r="B42" s="1580"/>
      <c r="C42" s="1033" t="s">
        <v>270</v>
      </c>
      <c r="D42" s="128"/>
      <c r="E42" s="1583"/>
      <c r="F42" s="1584"/>
      <c r="G42" s="1584"/>
      <c r="H42" s="1584"/>
      <c r="I42" s="1584"/>
      <c r="J42" s="1584"/>
      <c r="K42" s="1584"/>
      <c r="L42" s="1584"/>
      <c r="M42" s="1585"/>
      <c r="N42" s="1603"/>
      <c r="O42" s="1604"/>
    </row>
    <row r="43" spans="2:15" s="97" customFormat="1" ht="15.75" x14ac:dyDescent="0.25">
      <c r="B43" s="1049" t="s">
        <v>1363</v>
      </c>
      <c r="C43" s="1035"/>
      <c r="D43" s="1036"/>
      <c r="E43" s="1037"/>
      <c r="F43" s="1038"/>
      <c r="G43" s="1039"/>
      <c r="H43" s="1040"/>
      <c r="I43" s="1037"/>
      <c r="J43" s="1041"/>
      <c r="K43" s="1036"/>
      <c r="L43" s="96"/>
      <c r="M43" s="1050"/>
      <c r="N43" s="96"/>
      <c r="O43" s="96"/>
    </row>
    <row r="44" spans="2:15" s="97" customFormat="1" ht="15.75" x14ac:dyDescent="0.2">
      <c r="B44" s="1204" t="s">
        <v>1364</v>
      </c>
      <c r="C44" s="129" t="s">
        <v>1323</v>
      </c>
      <c r="D44" s="1034"/>
      <c r="E44" s="1605" t="s">
        <v>1383</v>
      </c>
      <c r="F44" s="1606"/>
      <c r="G44" s="1606"/>
      <c r="H44" s="1606"/>
      <c r="I44" s="1606"/>
      <c r="J44" s="1606"/>
      <c r="K44" s="1606"/>
      <c r="L44" s="1606"/>
      <c r="M44" s="1607"/>
      <c r="N44" s="96"/>
      <c r="O44" s="96"/>
    </row>
    <row r="45" spans="2:15" s="97" customFormat="1" ht="16.5" thickBot="1" x14ac:dyDescent="0.25">
      <c r="B45" s="1054" t="s">
        <v>1365</v>
      </c>
      <c r="C45" s="1058" t="s">
        <v>1323</v>
      </c>
      <c r="D45" s="1057"/>
      <c r="E45" s="1608"/>
      <c r="F45" s="1609"/>
      <c r="G45" s="1609"/>
      <c r="H45" s="1609"/>
      <c r="I45" s="1609"/>
      <c r="J45" s="1609"/>
      <c r="K45" s="1609"/>
      <c r="L45" s="1609"/>
      <c r="M45" s="1610"/>
      <c r="N45" s="96"/>
      <c r="O45" s="96"/>
    </row>
    <row r="46" spans="2:15" s="97" customFormat="1" ht="15.75" x14ac:dyDescent="0.25">
      <c r="B46" s="1575" t="s">
        <v>1366</v>
      </c>
      <c r="C46" s="1576"/>
      <c r="D46" s="1576"/>
      <c r="E46" s="1576"/>
      <c r="F46" s="1576"/>
      <c r="G46" s="1576"/>
      <c r="H46" s="1576"/>
      <c r="I46" s="1576"/>
      <c r="J46" s="1576"/>
      <c r="K46" s="1576"/>
      <c r="L46" s="1576"/>
      <c r="M46" s="1577"/>
      <c r="N46" s="96"/>
      <c r="O46" s="96"/>
    </row>
    <row r="47" spans="2:15" s="97" customFormat="1" ht="15.75" x14ac:dyDescent="0.25">
      <c r="B47" s="1049" t="s">
        <v>1381</v>
      </c>
      <c r="C47" s="1043"/>
      <c r="D47" s="1044"/>
      <c r="E47" s="1045"/>
      <c r="F47" s="1046"/>
      <c r="G47" s="1044"/>
      <c r="H47" s="120"/>
      <c r="I47" s="1045"/>
      <c r="J47" s="1047"/>
      <c r="K47" s="1044"/>
      <c r="L47" s="96"/>
      <c r="M47" s="1053"/>
      <c r="N47" s="96"/>
      <c r="O47" s="96"/>
    </row>
    <row r="48" spans="2:15" s="97" customFormat="1" ht="15.75" x14ac:dyDescent="0.2">
      <c r="B48" s="1579" t="s">
        <v>1374</v>
      </c>
      <c r="C48" s="131">
        <v>10</v>
      </c>
      <c r="D48" s="132" t="s">
        <v>885</v>
      </c>
      <c r="E48" s="1581" t="s">
        <v>1375</v>
      </c>
      <c r="F48" s="1525"/>
      <c r="G48" s="1525"/>
      <c r="H48" s="1525"/>
      <c r="I48" s="1525"/>
      <c r="J48" s="1525"/>
      <c r="K48" s="1525"/>
      <c r="L48" s="1525"/>
      <c r="M48" s="1582"/>
      <c r="N48" s="96"/>
      <c r="O48" s="96"/>
    </row>
    <row r="49" spans="2:15" s="97" customFormat="1" ht="15.75" x14ac:dyDescent="0.2">
      <c r="B49" s="1580"/>
      <c r="C49" s="1033" t="s">
        <v>270</v>
      </c>
      <c r="D49" s="128"/>
      <c r="E49" s="1583"/>
      <c r="F49" s="1584"/>
      <c r="G49" s="1584"/>
      <c r="H49" s="1584"/>
      <c r="I49" s="1584"/>
      <c r="J49" s="1584"/>
      <c r="K49" s="1584"/>
      <c r="L49" s="1584"/>
      <c r="M49" s="1585"/>
      <c r="N49" s="96"/>
      <c r="O49" s="96"/>
    </row>
    <row r="50" spans="2:15" s="97" customFormat="1" ht="32.25" thickBot="1" x14ac:dyDescent="0.25">
      <c r="B50" s="1055" t="s">
        <v>1374</v>
      </c>
      <c r="C50" s="1056">
        <v>30</v>
      </c>
      <c r="D50" s="1057" t="s">
        <v>885</v>
      </c>
      <c r="E50" s="1568" t="s">
        <v>1375</v>
      </c>
      <c r="F50" s="1569"/>
      <c r="G50" s="1569"/>
      <c r="H50" s="1569"/>
      <c r="I50" s="1569"/>
      <c r="J50" s="1569"/>
      <c r="K50" s="1569"/>
      <c r="L50" s="1569"/>
      <c r="M50" s="1570"/>
      <c r="N50" s="96"/>
      <c r="O50" s="96"/>
    </row>
    <row r="51" spans="2:15" s="97" customFormat="1" ht="15.75" x14ac:dyDescent="0.25">
      <c r="B51" s="1592" t="s">
        <v>1371</v>
      </c>
      <c r="C51" s="1593"/>
      <c r="D51" s="1593"/>
      <c r="E51" s="1593"/>
      <c r="F51" s="1593"/>
      <c r="G51" s="1593"/>
      <c r="H51" s="1593"/>
      <c r="I51" s="1593"/>
      <c r="J51" s="1593"/>
      <c r="K51" s="1593"/>
      <c r="L51" s="1593"/>
      <c r="M51" s="1594"/>
      <c r="N51" s="96"/>
      <c r="O51" s="96"/>
    </row>
    <row r="52" spans="2:15" s="97" customFormat="1" ht="15.75" x14ac:dyDescent="0.25">
      <c r="B52" s="1049" t="s">
        <v>1367</v>
      </c>
      <c r="C52" s="1043"/>
      <c r="D52" s="1044"/>
      <c r="E52" s="1045"/>
      <c r="F52" s="1046"/>
      <c r="G52" s="1044"/>
      <c r="H52" s="120"/>
      <c r="I52" s="1045"/>
      <c r="J52" s="1047"/>
      <c r="K52" s="1044"/>
      <c r="L52" s="1059"/>
      <c r="M52" s="1053"/>
      <c r="N52" s="96"/>
      <c r="O52" s="96"/>
    </row>
    <row r="53" spans="2:15" s="581" customFormat="1" ht="31.5" x14ac:dyDescent="0.2">
      <c r="B53" s="1238" t="s">
        <v>1368</v>
      </c>
      <c r="C53" s="593">
        <v>500</v>
      </c>
      <c r="D53" s="582" t="s">
        <v>885</v>
      </c>
      <c r="E53" s="1558" t="s">
        <v>1423</v>
      </c>
      <c r="F53" s="1559"/>
      <c r="G53" s="1559"/>
      <c r="H53" s="1559"/>
      <c r="I53" s="1559"/>
      <c r="J53" s="1559"/>
      <c r="K53" s="1559"/>
      <c r="L53" s="1559"/>
      <c r="M53" s="1560"/>
    </row>
    <row r="54" spans="2:15" s="581" customFormat="1" ht="31.5" x14ac:dyDescent="0.2">
      <c r="B54" s="1238" t="s">
        <v>1368</v>
      </c>
      <c r="C54" s="593">
        <v>600</v>
      </c>
      <c r="D54" s="582" t="s">
        <v>885</v>
      </c>
      <c r="E54" s="1002">
        <v>41418</v>
      </c>
      <c r="F54" s="1212">
        <v>692.25</v>
      </c>
      <c r="G54" s="1213" t="s">
        <v>885</v>
      </c>
      <c r="H54" s="595" t="s">
        <v>1415</v>
      </c>
      <c r="I54" s="1218"/>
      <c r="J54" s="1219">
        <f>F54+C54</f>
        <v>1292.25</v>
      </c>
      <c r="K54" s="1213" t="s">
        <v>885</v>
      </c>
      <c r="L54" s="1242">
        <f>J54-$C$7</f>
        <v>99.75</v>
      </c>
      <c r="M54" s="680" t="s">
        <v>885</v>
      </c>
      <c r="N54" s="581" t="str">
        <f>IF(L:L&lt;=30,"ALERTA","")</f>
        <v/>
      </c>
    </row>
    <row r="55" spans="2:15" s="97" customFormat="1" ht="15.75" x14ac:dyDescent="0.25">
      <c r="B55" s="1049" t="s">
        <v>1369</v>
      </c>
      <c r="C55" s="1043"/>
      <c r="D55" s="1044"/>
      <c r="E55" s="1045"/>
      <c r="F55" s="1046"/>
      <c r="G55" s="1044"/>
      <c r="H55" s="120"/>
      <c r="I55" s="1045"/>
      <c r="J55" s="1047"/>
      <c r="K55" s="1044"/>
      <c r="L55" s="96"/>
      <c r="M55" s="1053"/>
      <c r="N55" s="96"/>
      <c r="O55" s="96"/>
    </row>
    <row r="56" spans="2:15" s="97" customFormat="1" ht="31.5" x14ac:dyDescent="0.2">
      <c r="B56" s="1052" t="s">
        <v>1370</v>
      </c>
      <c r="C56" s="1048" t="s">
        <v>1323</v>
      </c>
      <c r="D56" s="110"/>
      <c r="E56" s="1524" t="s">
        <v>1382</v>
      </c>
      <c r="F56" s="1526"/>
      <c r="G56" s="1526"/>
      <c r="H56" s="1526"/>
      <c r="I56" s="1526"/>
      <c r="J56" s="1526"/>
      <c r="K56" s="1526"/>
      <c r="L56" s="1526"/>
      <c r="M56" s="1527"/>
      <c r="N56" s="1578"/>
      <c r="O56" s="1506"/>
    </row>
    <row r="57" spans="2:15" s="97" customFormat="1" ht="15.75" x14ac:dyDescent="0.2">
      <c r="B57" s="1052" t="s">
        <v>1424</v>
      </c>
      <c r="C57" s="1048">
        <v>30</v>
      </c>
      <c r="D57" s="110"/>
      <c r="E57" s="1583" t="s">
        <v>1425</v>
      </c>
      <c r="F57" s="1584"/>
      <c r="G57" s="1584"/>
      <c r="H57" s="1584"/>
      <c r="I57" s="1584"/>
      <c r="J57" s="1584"/>
      <c r="K57" s="1584"/>
      <c r="L57" s="1584"/>
      <c r="M57" s="1585"/>
      <c r="N57" s="1578"/>
      <c r="O57" s="1506"/>
    </row>
    <row r="58" spans="2:15" s="97" customFormat="1" ht="15.75" x14ac:dyDescent="0.2">
      <c r="B58" s="292"/>
      <c r="C58" s="293"/>
      <c r="D58" s="292"/>
      <c r="E58" s="294"/>
      <c r="F58" s="295"/>
      <c r="G58" s="296"/>
      <c r="H58" s="1205"/>
      <c r="I58" s="298"/>
      <c r="J58" s="136"/>
      <c r="K58" s="133"/>
      <c r="L58" s="136"/>
      <c r="M58" s="299"/>
    </row>
    <row r="59" spans="2:15" s="97" customFormat="1" ht="15.75" x14ac:dyDescent="0.2">
      <c r="B59" s="292" t="s">
        <v>1379</v>
      </c>
      <c r="C59" s="293"/>
      <c r="D59" s="292"/>
      <c r="E59" s="294"/>
      <c r="F59" s="295"/>
      <c r="G59" s="296"/>
      <c r="H59" s="1205"/>
      <c r="I59" s="298"/>
      <c r="J59" s="136"/>
      <c r="K59" s="133"/>
      <c r="L59" s="136"/>
      <c r="M59" s="299"/>
    </row>
    <row r="60" spans="2:15" s="97" customFormat="1" ht="15.75" x14ac:dyDescent="0.2">
      <c r="B60" s="292"/>
      <c r="C60" s="293"/>
      <c r="D60" s="292"/>
      <c r="E60" s="294"/>
      <c r="F60" s="295"/>
      <c r="G60" s="296"/>
      <c r="H60" s="1205"/>
      <c r="I60" s="298"/>
      <c r="J60" s="136"/>
      <c r="K60" s="133"/>
      <c r="L60" s="136"/>
      <c r="M60" s="299"/>
    </row>
    <row r="61" spans="2:15" s="97" customFormat="1" ht="15.75" x14ac:dyDescent="0.2">
      <c r="B61" s="292"/>
      <c r="C61" s="293"/>
      <c r="D61" s="292"/>
      <c r="E61" s="294"/>
      <c r="F61" s="295"/>
      <c r="G61" s="296"/>
      <c r="H61" s="1205"/>
      <c r="I61" s="298"/>
      <c r="J61" s="136"/>
      <c r="K61" s="133"/>
      <c r="L61" s="136"/>
      <c r="M61" s="299"/>
    </row>
    <row r="62" spans="2:15" s="97" customFormat="1" ht="15.75" x14ac:dyDescent="0.2">
      <c r="B62" s="292"/>
      <c r="C62" s="293"/>
      <c r="D62" s="292"/>
      <c r="E62" s="294"/>
      <c r="F62" s="295"/>
      <c r="G62" s="296"/>
      <c r="H62" s="1205"/>
      <c r="I62" s="298"/>
      <c r="J62" s="136"/>
      <c r="K62" s="133"/>
      <c r="L62" s="136"/>
      <c r="M62" s="299"/>
    </row>
    <row r="63" spans="2:15" s="97" customFormat="1" ht="15.75" x14ac:dyDescent="0.2">
      <c r="B63" s="292"/>
      <c r="C63" s="293"/>
      <c r="D63" s="292"/>
      <c r="E63" s="294"/>
      <c r="F63" s="295"/>
      <c r="G63" s="296"/>
      <c r="H63" s="1205"/>
      <c r="I63" s="298"/>
      <c r="J63" s="136"/>
      <c r="K63" s="133"/>
      <c r="L63" s="136"/>
      <c r="M63" s="299"/>
    </row>
    <row r="64" spans="2:15" s="97" customFormat="1" ht="15.75" x14ac:dyDescent="0.2">
      <c r="B64" s="292"/>
      <c r="C64" s="293"/>
      <c r="D64" s="292"/>
      <c r="E64" s="294"/>
      <c r="F64" s="295"/>
      <c r="G64" s="296"/>
      <c r="H64" s="1205"/>
      <c r="I64" s="298"/>
      <c r="J64" s="136"/>
      <c r="K64" s="133"/>
      <c r="L64" s="136"/>
      <c r="M64" s="299"/>
    </row>
    <row r="65" spans="2:13" s="97" customFormat="1" ht="15.75" x14ac:dyDescent="0.2">
      <c r="B65" s="292"/>
      <c r="C65" s="293"/>
      <c r="D65" s="292"/>
      <c r="E65" s="294"/>
      <c r="F65" s="295"/>
      <c r="G65" s="296"/>
      <c r="H65" s="1205"/>
      <c r="I65" s="298"/>
      <c r="J65" s="136"/>
      <c r="K65" s="133"/>
      <c r="L65" s="136"/>
      <c r="M65" s="299"/>
    </row>
    <row r="66" spans="2:13" s="133" customFormat="1" x14ac:dyDescent="0.2">
      <c r="D66" s="134"/>
      <c r="E66" s="135"/>
      <c r="J66" s="136"/>
      <c r="L66" s="136"/>
    </row>
    <row r="67" spans="2:13" s="133" customFormat="1" x14ac:dyDescent="0.2">
      <c r="D67" s="134"/>
      <c r="E67" s="135"/>
      <c r="J67" s="136"/>
      <c r="L67" s="136"/>
    </row>
    <row r="68" spans="2:13" s="133" customFormat="1" x14ac:dyDescent="0.2">
      <c r="D68" s="134"/>
      <c r="E68" s="135"/>
      <c r="J68" s="136"/>
      <c r="L68" s="136"/>
    </row>
    <row r="69" spans="2:13" s="133" customFormat="1" x14ac:dyDescent="0.2">
      <c r="D69" s="134"/>
      <c r="E69" s="135"/>
      <c r="J69" s="136"/>
      <c r="L69" s="136"/>
    </row>
    <row r="70" spans="2:13" s="133" customFormat="1" x14ac:dyDescent="0.2">
      <c r="D70" s="134"/>
      <c r="E70" s="135"/>
      <c r="J70" s="136"/>
      <c r="L70" s="136"/>
    </row>
    <row r="71" spans="2:13" s="133" customFormat="1" x14ac:dyDescent="0.2">
      <c r="D71" s="134"/>
      <c r="E71" s="135"/>
      <c r="J71" s="136"/>
      <c r="L71" s="136"/>
    </row>
    <row r="72" spans="2:13" s="133" customFormat="1" x14ac:dyDescent="0.2">
      <c r="D72" s="134"/>
      <c r="E72" s="135"/>
      <c r="J72" s="136"/>
      <c r="L72" s="136"/>
    </row>
  </sheetData>
  <mergeCells count="57">
    <mergeCell ref="E41:M42"/>
    <mergeCell ref="N42:O42"/>
    <mergeCell ref="E44:M44"/>
    <mergeCell ref="E45:M45"/>
    <mergeCell ref="B46:M46"/>
    <mergeCell ref="B41:B42"/>
    <mergeCell ref="N28:O28"/>
    <mergeCell ref="B32:B33"/>
    <mergeCell ref="E32:M33"/>
    <mergeCell ref="N33:O33"/>
    <mergeCell ref="B35:M35"/>
    <mergeCell ref="E27:M28"/>
    <mergeCell ref="A2:M2"/>
    <mergeCell ref="A3:M3"/>
    <mergeCell ref="A4:M4"/>
    <mergeCell ref="B6:D6"/>
    <mergeCell ref="B15:B16"/>
    <mergeCell ref="J12:K12"/>
    <mergeCell ref="C8:D8"/>
    <mergeCell ref="B14:M14"/>
    <mergeCell ref="E15:M16"/>
    <mergeCell ref="N6:O6"/>
    <mergeCell ref="L8:M8"/>
    <mergeCell ref="L9:M9"/>
    <mergeCell ref="B10:M10"/>
    <mergeCell ref="B11:B12"/>
    <mergeCell ref="C11:D11"/>
    <mergeCell ref="E11:H11"/>
    <mergeCell ref="I11:K11"/>
    <mergeCell ref="L11:M12"/>
    <mergeCell ref="F12:G12"/>
    <mergeCell ref="C7:D7"/>
    <mergeCell ref="L7:M7"/>
    <mergeCell ref="N57:O57"/>
    <mergeCell ref="E56:M56"/>
    <mergeCell ref="E53:M53"/>
    <mergeCell ref="B48:B49"/>
    <mergeCell ref="E48:M49"/>
    <mergeCell ref="E50:M50"/>
    <mergeCell ref="B51:M51"/>
    <mergeCell ref="E57:M57"/>
    <mergeCell ref="B17:M17"/>
    <mergeCell ref="N56:O56"/>
    <mergeCell ref="B39:B40"/>
    <mergeCell ref="E39:M40"/>
    <mergeCell ref="B30:B31"/>
    <mergeCell ref="E30:M31"/>
    <mergeCell ref="N26:O26"/>
    <mergeCell ref="E19:M19"/>
    <mergeCell ref="E20:M21"/>
    <mergeCell ref="E22:M23"/>
    <mergeCell ref="E25:M26"/>
    <mergeCell ref="B25:B26"/>
    <mergeCell ref="B20:B21"/>
    <mergeCell ref="B22:B23"/>
    <mergeCell ref="B27:B28"/>
    <mergeCell ref="C27:D28"/>
  </mergeCells>
  <conditionalFormatting sqref="L46 L34 L51 L37 L24">
    <cfRule type="cellIs" dxfId="18" priority="12" stopIfTrue="1" operator="lessThan">
      <formula>10</formula>
    </cfRule>
  </conditionalFormatting>
  <conditionalFormatting sqref="N1:N26 N29:N53 N55:N56 N58:N65439">
    <cfRule type="containsText" dxfId="17" priority="10" stopIfTrue="1" operator="containsText" text="ALERTA">
      <formula>NOT(ISERROR(SEARCH("ALERTA",N1)))</formula>
    </cfRule>
    <cfRule type="containsText" dxfId="16" priority="11" stopIfTrue="1" operator="containsText" text="ALERTA">
      <formula>NOT(ISERROR(SEARCH("ALERTA",N1)))</formula>
    </cfRule>
  </conditionalFormatting>
  <conditionalFormatting sqref="L46 L34 L51 L37 L24">
    <cfRule type="cellIs" dxfId="15" priority="9" stopIfTrue="1" operator="lessThan">
      <formula>31</formula>
    </cfRule>
  </conditionalFormatting>
  <conditionalFormatting sqref="N27:N28">
    <cfRule type="containsText" dxfId="14" priority="7" stopIfTrue="1" operator="containsText" text="ALERTA">
      <formula>NOT(ISERROR(SEARCH("ALERTA",N27)))</formula>
    </cfRule>
    <cfRule type="containsText" dxfId="13" priority="8" stopIfTrue="1" operator="containsText" text="ALERTA">
      <formula>NOT(ISERROR(SEARCH("ALERTA",N27)))</formula>
    </cfRule>
  </conditionalFormatting>
  <conditionalFormatting sqref="L54">
    <cfRule type="cellIs" dxfId="12" priority="6" stopIfTrue="1" operator="lessThan">
      <formula>10</formula>
    </cfRule>
  </conditionalFormatting>
  <conditionalFormatting sqref="N54">
    <cfRule type="containsText" dxfId="11" priority="4" stopIfTrue="1" operator="containsText" text="ALERTA">
      <formula>NOT(ISERROR(SEARCH("ALERTA",N54)))</formula>
    </cfRule>
    <cfRule type="containsText" dxfId="10" priority="5" stopIfTrue="1" operator="containsText" text="ALERTA">
      <formula>NOT(ISERROR(SEARCH("ALERTA",N54)))</formula>
    </cfRule>
  </conditionalFormatting>
  <conditionalFormatting sqref="L54">
    <cfRule type="cellIs" dxfId="9" priority="3" stopIfTrue="1" operator="lessThan">
      <formula>31</formula>
    </cfRule>
  </conditionalFormatting>
  <conditionalFormatting sqref="N57">
    <cfRule type="containsText" dxfId="8" priority="1" stopIfTrue="1" operator="containsText" text="ALERTA">
      <formula>NOT(ISERROR(SEARCH("ALERTA",N57)))</formula>
    </cfRule>
    <cfRule type="containsText" dxfId="7" priority="2" stopIfTrue="1" operator="containsText" text="ALERTA">
      <formula>NOT(ISERROR(SEARCH("ALERTA",N57)))</formula>
    </cfRule>
  </conditionalFormatting>
  <pageMargins left="0.43307086614173229" right="0.19685039370078741" top="0.51181102362204722" bottom="0.51181102362204722" header="0.31496062992125984" footer="0.31496062992125984"/>
  <pageSetup paperSize="119" scale="80" orientation="landscape" r:id="rId1"/>
  <headerFooter>
    <oddFooter>&amp;LImpreso: &amp;D&amp;CPágina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9"/>
  <sheetViews>
    <sheetView showGridLines="0" tabSelected="1" view="pageBreakPreview" zoomScale="115" zoomScaleNormal="100" zoomScaleSheetLayoutView="115" workbookViewId="0">
      <selection activeCell="C13" sqref="C13:C14"/>
    </sheetView>
  </sheetViews>
  <sheetFormatPr defaultColWidth="11.42578125" defaultRowHeight="12.75" x14ac:dyDescent="0.2"/>
  <cols>
    <col min="1" max="1" width="1.5703125" style="313" customWidth="1"/>
    <col min="2" max="2" width="22.85546875" style="309" customWidth="1"/>
    <col min="3" max="3" width="19.85546875" style="309" bestFit="1" customWidth="1"/>
    <col min="4" max="4" width="14.7109375" style="309" bestFit="1" customWidth="1"/>
    <col min="5" max="5" width="7.85546875" style="307" customWidth="1"/>
    <col min="6" max="6" width="8" style="309" customWidth="1"/>
    <col min="7" max="7" width="3.7109375" style="309" customWidth="1"/>
    <col min="8" max="8" width="8.7109375" style="307" customWidth="1"/>
    <col min="9" max="9" width="13.85546875" style="312" customWidth="1"/>
    <col min="10" max="10" width="10.7109375" style="312" customWidth="1"/>
    <col min="11" max="11" width="3.7109375" style="312" customWidth="1"/>
    <col min="12" max="12" width="14.7109375" style="313" hidden="1" customWidth="1"/>
    <col min="13" max="13" width="15" style="312" customWidth="1"/>
    <col min="14" max="14" width="5.28515625" style="324" customWidth="1"/>
    <col min="15" max="15" width="13.85546875" style="312" customWidth="1"/>
    <col min="16" max="16" width="4.42578125" style="324" customWidth="1"/>
    <col min="17" max="17" width="13" style="312" customWidth="1"/>
    <col min="18" max="18" width="3.7109375" style="312" customWidth="1"/>
    <col min="19" max="19" width="12" style="312" customWidth="1"/>
    <col min="20" max="20" width="3.7109375" style="312" customWidth="1"/>
    <col min="21" max="16384" width="11.42578125" style="309"/>
  </cols>
  <sheetData>
    <row r="1" spans="1:22" ht="13.5" thickBot="1" x14ac:dyDescent="0.25">
      <c r="B1" s="928" t="s">
        <v>225</v>
      </c>
      <c r="C1" s="308" t="str">
        <f>Id!E7</f>
        <v>CC-AHT</v>
      </c>
      <c r="F1" s="932" t="s">
        <v>283</v>
      </c>
      <c r="G1" s="933"/>
      <c r="H1" s="934"/>
      <c r="I1" s="310" t="str">
        <f>Id!B16</f>
        <v>ARRIUS 1A1</v>
      </c>
      <c r="J1" s="311"/>
      <c r="M1" s="932" t="s">
        <v>284</v>
      </c>
      <c r="N1" s="940"/>
      <c r="O1" s="310" t="str">
        <f>Id!E16</f>
        <v>ARRIUS 1A1</v>
      </c>
      <c r="P1" s="314"/>
      <c r="Q1" s="945" t="s">
        <v>282</v>
      </c>
      <c r="R1" s="946"/>
      <c r="S1" s="315">
        <f>Id!E3</f>
        <v>41449</v>
      </c>
    </row>
    <row r="2" spans="1:22" x14ac:dyDescent="0.2">
      <c r="B2" s="929" t="s">
        <v>226</v>
      </c>
      <c r="C2" s="316" t="str">
        <f>Id!B5</f>
        <v>AS 355 NP</v>
      </c>
      <c r="F2" s="930" t="s">
        <v>147</v>
      </c>
      <c r="G2" s="935"/>
      <c r="H2" s="936"/>
      <c r="I2" s="317">
        <f>Id!B18</f>
        <v>3005</v>
      </c>
      <c r="J2" s="311"/>
      <c r="M2" s="941" t="s">
        <v>147</v>
      </c>
      <c r="N2" s="942"/>
      <c r="O2" s="318">
        <f>Id!E18</f>
        <v>3008</v>
      </c>
      <c r="P2" s="314"/>
      <c r="R2" s="319"/>
    </row>
    <row r="3" spans="1:22" x14ac:dyDescent="0.2">
      <c r="B3" s="930" t="s">
        <v>146</v>
      </c>
      <c r="C3" s="320">
        <f>Id!B7</f>
        <v>5752</v>
      </c>
      <c r="F3" s="930" t="s">
        <v>148</v>
      </c>
      <c r="G3" s="935"/>
      <c r="H3" s="936"/>
      <c r="I3" s="321">
        <f>Id!B20</f>
        <v>1192.5</v>
      </c>
      <c r="J3" s="311"/>
      <c r="M3" s="941" t="s">
        <v>148</v>
      </c>
      <c r="N3" s="942"/>
      <c r="O3" s="321">
        <f>Id!E20</f>
        <v>1192.5</v>
      </c>
      <c r="P3" s="314"/>
      <c r="R3" s="313"/>
    </row>
    <row r="4" spans="1:22" x14ac:dyDescent="0.2">
      <c r="B4" s="930" t="s">
        <v>148</v>
      </c>
      <c r="C4" s="322">
        <f>Id!B11</f>
        <v>1192.5</v>
      </c>
      <c r="F4" s="930" t="s">
        <v>1307</v>
      </c>
      <c r="G4" s="935"/>
      <c r="H4" s="936"/>
      <c r="I4" s="851">
        <f>Id!B22</f>
        <v>904.85</v>
      </c>
      <c r="J4" s="311"/>
      <c r="M4" s="941" t="s">
        <v>1307</v>
      </c>
      <c r="N4" s="942"/>
      <c r="O4" s="851">
        <f>Id!E22</f>
        <v>955.25</v>
      </c>
      <c r="P4" s="314"/>
      <c r="R4" s="313"/>
    </row>
    <row r="5" spans="1:22" ht="13.5" thickBot="1" x14ac:dyDescent="0.25">
      <c r="B5" s="931" t="s">
        <v>149</v>
      </c>
      <c r="C5" s="323">
        <f>Id!E11</f>
        <v>3532</v>
      </c>
      <c r="F5" s="937" t="s">
        <v>1308</v>
      </c>
      <c r="G5" s="938"/>
      <c r="H5" s="939"/>
      <c r="I5" s="850">
        <f>Id!B24</f>
        <v>1501.85</v>
      </c>
      <c r="J5" s="311"/>
      <c r="M5" s="943" t="s">
        <v>1308</v>
      </c>
      <c r="N5" s="944"/>
      <c r="O5" s="850">
        <f>Id!E24</f>
        <v>1495.2</v>
      </c>
      <c r="P5" s="314"/>
      <c r="R5" s="313"/>
    </row>
    <row r="6" spans="1:22" ht="8.4499999999999993" customHeight="1" x14ac:dyDescent="0.2"/>
    <row r="7" spans="1:22" ht="15" customHeight="1" x14ac:dyDescent="0.2">
      <c r="A7" s="686"/>
      <c r="B7" s="947" t="s">
        <v>150</v>
      </c>
      <c r="C7" s="947" t="s">
        <v>151</v>
      </c>
      <c r="D7" s="948" t="s">
        <v>151</v>
      </c>
      <c r="E7" s="948" t="s">
        <v>182</v>
      </c>
      <c r="F7" s="949" t="s">
        <v>87</v>
      </c>
      <c r="G7" s="950"/>
      <c r="H7" s="951" t="s">
        <v>158</v>
      </c>
      <c r="I7" s="1674" t="s">
        <v>152</v>
      </c>
      <c r="J7" s="1675"/>
      <c r="K7" s="1675"/>
      <c r="L7" s="1675"/>
      <c r="M7" s="1676" t="s">
        <v>153</v>
      </c>
      <c r="N7" s="1676"/>
      <c r="O7" s="1676" t="s">
        <v>684</v>
      </c>
      <c r="P7" s="1676"/>
      <c r="Q7" s="1676" t="s">
        <v>154</v>
      </c>
      <c r="R7" s="1677"/>
      <c r="S7" s="1676" t="s">
        <v>89</v>
      </c>
      <c r="T7" s="1676"/>
    </row>
    <row r="8" spans="1:22" ht="13.5" thickBot="1" x14ac:dyDescent="0.25">
      <c r="A8" s="686"/>
      <c r="B8" s="953" t="s">
        <v>155</v>
      </c>
      <c r="C8" s="953" t="s">
        <v>156</v>
      </c>
      <c r="D8" s="954" t="s">
        <v>157</v>
      </c>
      <c r="E8" s="954" t="s">
        <v>168</v>
      </c>
      <c r="F8" s="955"/>
      <c r="G8" s="956"/>
      <c r="H8" s="957"/>
      <c r="I8" s="1678" t="s">
        <v>159</v>
      </c>
      <c r="J8" s="1679"/>
      <c r="K8" s="1679"/>
      <c r="L8" s="1679"/>
      <c r="M8" s="1680" t="s">
        <v>160</v>
      </c>
      <c r="N8" s="1680"/>
      <c r="O8" s="1680" t="s">
        <v>161</v>
      </c>
      <c r="P8" s="1680"/>
      <c r="Q8" s="1680" t="s">
        <v>162</v>
      </c>
      <c r="R8" s="1680"/>
      <c r="S8" s="1680" t="s">
        <v>163</v>
      </c>
      <c r="T8" s="1680"/>
    </row>
    <row r="9" spans="1:22" ht="13.5" thickBot="1" x14ac:dyDescent="0.25">
      <c r="A9" s="686"/>
      <c r="B9" s="959"/>
      <c r="C9" s="959"/>
      <c r="D9" s="960"/>
      <c r="E9" s="960"/>
      <c r="F9" s="960"/>
      <c r="G9" s="961"/>
      <c r="H9" s="962"/>
      <c r="I9" s="963" t="s">
        <v>82</v>
      </c>
      <c r="J9" s="1667" t="s">
        <v>90</v>
      </c>
      <c r="K9" s="1668"/>
      <c r="L9" s="960" t="s">
        <v>164</v>
      </c>
      <c r="M9" s="1681"/>
      <c r="N9" s="1682"/>
      <c r="O9" s="1681"/>
      <c r="P9" s="1682"/>
      <c r="Q9" s="1681"/>
      <c r="R9" s="1682"/>
      <c r="S9" s="1669" t="s">
        <v>165</v>
      </c>
      <c r="T9" s="1669"/>
    </row>
    <row r="10" spans="1:22" ht="10.5" customHeight="1" thickTop="1" thickBot="1" x14ac:dyDescent="0.25">
      <c r="A10" s="687"/>
      <c r="B10" s="760"/>
      <c r="C10" s="760"/>
      <c r="D10" s="760"/>
      <c r="E10" s="760"/>
      <c r="F10" s="760"/>
      <c r="G10" s="760"/>
      <c r="H10" s="760"/>
      <c r="I10" s="760"/>
      <c r="J10" s="760"/>
      <c r="K10" s="760"/>
      <c r="L10" s="760"/>
      <c r="M10" s="760"/>
      <c r="N10" s="761"/>
      <c r="O10" s="760"/>
      <c r="P10" s="761"/>
      <c r="Q10" s="760"/>
      <c r="R10" s="760"/>
      <c r="S10" s="760"/>
      <c r="T10" s="759"/>
    </row>
    <row r="11" spans="1:22" ht="12.75" customHeight="1" x14ac:dyDescent="0.2">
      <c r="A11" s="766"/>
      <c r="B11" s="767" t="s">
        <v>862</v>
      </c>
      <c r="C11" s="767"/>
      <c r="D11" s="767"/>
      <c r="E11" s="767"/>
      <c r="F11" s="767"/>
      <c r="G11" s="767"/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7"/>
      <c r="S11" s="767"/>
      <c r="T11" s="768"/>
    </row>
    <row r="12" spans="1:22" ht="20.100000000000001" customHeight="1" x14ac:dyDescent="0.2">
      <c r="A12" s="684"/>
      <c r="B12" s="683" t="s">
        <v>961</v>
      </c>
      <c r="C12" s="683" t="s">
        <v>962</v>
      </c>
      <c r="D12" s="699"/>
      <c r="E12" s="689" t="s">
        <v>960</v>
      </c>
      <c r="F12" s="701">
        <v>5000</v>
      </c>
      <c r="G12" s="690" t="s">
        <v>885</v>
      </c>
      <c r="H12" s="702" t="s">
        <v>0</v>
      </c>
      <c r="I12" s="703"/>
      <c r="J12" s="704"/>
      <c r="K12" s="690"/>
      <c r="L12" s="705"/>
      <c r="M12" s="698" t="s">
        <v>964</v>
      </c>
      <c r="N12" s="690"/>
      <c r="O12" s="704"/>
      <c r="P12" s="690"/>
      <c r="Q12" s="704"/>
      <c r="R12" s="690"/>
      <c r="S12" s="704"/>
      <c r="T12" s="690"/>
    </row>
    <row r="13" spans="1:22" s="1115" customFormat="1" ht="18" customHeight="1" x14ac:dyDescent="0.2">
      <c r="A13" s="1686"/>
      <c r="B13" s="1670" t="s">
        <v>169</v>
      </c>
      <c r="C13" s="1670" t="s">
        <v>1142</v>
      </c>
      <c r="D13" s="1670" t="s">
        <v>1428</v>
      </c>
      <c r="E13" s="1672" t="s">
        <v>1155</v>
      </c>
      <c r="F13" s="1077">
        <v>6</v>
      </c>
      <c r="G13" s="1078" t="s">
        <v>880</v>
      </c>
      <c r="H13" s="1094" t="s">
        <v>181</v>
      </c>
      <c r="I13" s="1089">
        <v>41422</v>
      </c>
      <c r="J13" s="1090">
        <v>0</v>
      </c>
      <c r="K13" s="1078" t="s">
        <v>885</v>
      </c>
      <c r="L13" s="617"/>
      <c r="M13" s="1091">
        <v>0</v>
      </c>
      <c r="N13" s="1078" t="s">
        <v>906</v>
      </c>
      <c r="O13" s="1090">
        <f>S1-I13</f>
        <v>27</v>
      </c>
      <c r="P13" s="1078" t="s">
        <v>906</v>
      </c>
      <c r="Q13" s="1092">
        <v>41455</v>
      </c>
      <c r="R13" s="1078"/>
      <c r="S13" s="1077">
        <f t="shared" ref="S13:S20" si="0">Q13-$S$1</f>
        <v>6</v>
      </c>
      <c r="T13" s="1078" t="s">
        <v>906</v>
      </c>
      <c r="U13" s="1115" t="str">
        <f t="shared" ref="U13:U20" si="1">IF(S:S&lt;=50,"ALERTA","")</f>
        <v>ALERTA</v>
      </c>
    </row>
    <row r="14" spans="1:22" s="1115" customFormat="1" ht="18" customHeight="1" x14ac:dyDescent="0.2">
      <c r="A14" s="1686"/>
      <c r="B14" s="1671"/>
      <c r="C14" s="1671"/>
      <c r="D14" s="1671"/>
      <c r="E14" s="1673"/>
      <c r="F14" s="1077">
        <v>12</v>
      </c>
      <c r="G14" s="1078" t="s">
        <v>880</v>
      </c>
      <c r="H14" s="1094" t="s">
        <v>181</v>
      </c>
      <c r="I14" s="1089">
        <v>41422</v>
      </c>
      <c r="J14" s="1090">
        <v>0</v>
      </c>
      <c r="K14" s="1078" t="s">
        <v>885</v>
      </c>
      <c r="L14" s="617"/>
      <c r="M14" s="1091">
        <v>0</v>
      </c>
      <c r="N14" s="1078" t="s">
        <v>906</v>
      </c>
      <c r="O14" s="1090">
        <f>S1-I14</f>
        <v>27</v>
      </c>
      <c r="P14" s="1078" t="s">
        <v>906</v>
      </c>
      <c r="Q14" s="1092">
        <f>I14+(365)</f>
        <v>41787</v>
      </c>
      <c r="R14" s="1078"/>
      <c r="S14" s="1077">
        <f t="shared" si="0"/>
        <v>338</v>
      </c>
      <c r="T14" s="1078" t="s">
        <v>906</v>
      </c>
      <c r="U14" s="1115" t="str">
        <f t="shared" si="1"/>
        <v/>
      </c>
    </row>
    <row r="15" spans="1:22" ht="30.2" customHeight="1" x14ac:dyDescent="0.2">
      <c r="A15" s="684"/>
      <c r="B15" s="683" t="s">
        <v>287</v>
      </c>
      <c r="C15" s="683" t="s">
        <v>1143</v>
      </c>
      <c r="D15" s="699" t="s">
        <v>289</v>
      </c>
      <c r="E15" s="689" t="s">
        <v>986</v>
      </c>
      <c r="F15" s="701">
        <v>120</v>
      </c>
      <c r="G15" s="690" t="s">
        <v>880</v>
      </c>
      <c r="H15" s="702" t="s">
        <v>987</v>
      </c>
      <c r="I15" s="1271">
        <v>38776</v>
      </c>
      <c r="J15" s="704">
        <v>0</v>
      </c>
      <c r="K15" s="690" t="s">
        <v>885</v>
      </c>
      <c r="L15" s="705"/>
      <c r="M15" s="698">
        <v>0</v>
      </c>
      <c r="N15" s="690" t="s">
        <v>906</v>
      </c>
      <c r="O15" s="704">
        <f>$S$1-I15</f>
        <v>2673</v>
      </c>
      <c r="P15" s="690" t="s">
        <v>906</v>
      </c>
      <c r="Q15" s="706">
        <v>42428</v>
      </c>
      <c r="R15" s="690"/>
      <c r="S15" s="701">
        <f t="shared" si="0"/>
        <v>979</v>
      </c>
      <c r="T15" s="690" t="s">
        <v>906</v>
      </c>
      <c r="U15" s="309" t="str">
        <f t="shared" si="1"/>
        <v/>
      </c>
      <c r="V15" s="1291">
        <v>38776</v>
      </c>
    </row>
    <row r="16" spans="1:22" ht="30.2" customHeight="1" x14ac:dyDescent="0.2">
      <c r="A16" s="684"/>
      <c r="B16" s="683" t="s">
        <v>287</v>
      </c>
      <c r="C16" s="683" t="s">
        <v>1143</v>
      </c>
      <c r="D16" s="699" t="s">
        <v>289</v>
      </c>
      <c r="E16" s="689" t="s">
        <v>986</v>
      </c>
      <c r="F16" s="701">
        <v>120</v>
      </c>
      <c r="G16" s="690" t="s">
        <v>880</v>
      </c>
      <c r="H16" s="702" t="s">
        <v>987</v>
      </c>
      <c r="I16" s="1271">
        <v>38776</v>
      </c>
      <c r="J16" s="704">
        <v>0</v>
      </c>
      <c r="K16" s="690" t="s">
        <v>885</v>
      </c>
      <c r="L16" s="705"/>
      <c r="M16" s="698">
        <v>0</v>
      </c>
      <c r="N16" s="690" t="s">
        <v>906</v>
      </c>
      <c r="O16" s="704">
        <f>$S$1-I16</f>
        <v>2673</v>
      </c>
      <c r="P16" s="690" t="s">
        <v>906</v>
      </c>
      <c r="Q16" s="706">
        <v>42428</v>
      </c>
      <c r="R16" s="690"/>
      <c r="S16" s="701">
        <f t="shared" si="0"/>
        <v>979</v>
      </c>
      <c r="T16" s="690" t="s">
        <v>906</v>
      </c>
      <c r="U16" s="309" t="str">
        <f t="shared" si="1"/>
        <v/>
      </c>
    </row>
    <row r="17" spans="1:22" ht="30.2" customHeight="1" x14ac:dyDescent="0.2">
      <c r="A17" s="684"/>
      <c r="B17" s="683" t="s">
        <v>1433</v>
      </c>
      <c r="C17" s="683" t="s">
        <v>1144</v>
      </c>
      <c r="D17" s="699" t="s">
        <v>289</v>
      </c>
      <c r="E17" s="689" t="s">
        <v>986</v>
      </c>
      <c r="F17" s="701">
        <v>120</v>
      </c>
      <c r="G17" s="690" t="s">
        <v>880</v>
      </c>
      <c r="H17" s="702" t="s">
        <v>987</v>
      </c>
      <c r="I17" s="1271">
        <v>39036</v>
      </c>
      <c r="J17" s="704">
        <v>0</v>
      </c>
      <c r="K17" s="690" t="s">
        <v>885</v>
      </c>
      <c r="L17" s="705"/>
      <c r="M17" s="698">
        <v>0</v>
      </c>
      <c r="N17" s="690" t="s">
        <v>906</v>
      </c>
      <c r="O17" s="704">
        <f>S1-I17</f>
        <v>2413</v>
      </c>
      <c r="P17" s="690" t="s">
        <v>906</v>
      </c>
      <c r="Q17" s="706">
        <v>42704</v>
      </c>
      <c r="R17" s="690"/>
      <c r="S17" s="701">
        <f t="shared" si="0"/>
        <v>1255</v>
      </c>
      <c r="T17" s="690" t="s">
        <v>906</v>
      </c>
      <c r="U17" s="309" t="str">
        <f t="shared" si="1"/>
        <v/>
      </c>
      <c r="V17" s="1291">
        <v>39051</v>
      </c>
    </row>
    <row r="18" spans="1:22" ht="30.2" customHeight="1" x14ac:dyDescent="0.2">
      <c r="A18" s="684"/>
      <c r="B18" s="683" t="s">
        <v>1433</v>
      </c>
      <c r="C18" s="683" t="s">
        <v>1144</v>
      </c>
      <c r="D18" s="699" t="s">
        <v>289</v>
      </c>
      <c r="E18" s="689" t="s">
        <v>986</v>
      </c>
      <c r="F18" s="701">
        <v>120</v>
      </c>
      <c r="G18" s="690" t="s">
        <v>880</v>
      </c>
      <c r="H18" s="702" t="s">
        <v>987</v>
      </c>
      <c r="I18" s="1271">
        <v>39036</v>
      </c>
      <c r="J18" s="704">
        <v>0</v>
      </c>
      <c r="K18" s="690" t="s">
        <v>885</v>
      </c>
      <c r="L18" s="705"/>
      <c r="M18" s="698">
        <v>0</v>
      </c>
      <c r="N18" s="690" t="s">
        <v>906</v>
      </c>
      <c r="O18" s="704">
        <f>$S$1-I18</f>
        <v>2413</v>
      </c>
      <c r="P18" s="690" t="s">
        <v>906</v>
      </c>
      <c r="Q18" s="706">
        <v>42704</v>
      </c>
      <c r="R18" s="690"/>
      <c r="S18" s="701">
        <f t="shared" si="0"/>
        <v>1255</v>
      </c>
      <c r="T18" s="690" t="s">
        <v>906</v>
      </c>
      <c r="U18" s="309" t="str">
        <f t="shared" si="1"/>
        <v/>
      </c>
    </row>
    <row r="19" spans="1:22" ht="30.2" customHeight="1" x14ac:dyDescent="0.2">
      <c r="A19" s="684"/>
      <c r="B19" s="683" t="s">
        <v>1145</v>
      </c>
      <c r="C19" s="683" t="s">
        <v>1146</v>
      </c>
      <c r="D19" s="699" t="s">
        <v>289</v>
      </c>
      <c r="E19" s="689" t="s">
        <v>986</v>
      </c>
      <c r="F19" s="701">
        <v>120</v>
      </c>
      <c r="G19" s="690" t="s">
        <v>880</v>
      </c>
      <c r="H19" s="702" t="s">
        <v>987</v>
      </c>
      <c r="I19" s="1271">
        <v>38990</v>
      </c>
      <c r="J19" s="704">
        <v>0</v>
      </c>
      <c r="K19" s="690" t="s">
        <v>885</v>
      </c>
      <c r="L19" s="705"/>
      <c r="M19" s="698">
        <v>0</v>
      </c>
      <c r="N19" s="690" t="s">
        <v>906</v>
      </c>
      <c r="O19" s="704">
        <f>$S$1-I19</f>
        <v>2459</v>
      </c>
      <c r="P19" s="690" t="s">
        <v>906</v>
      </c>
      <c r="Q19" s="706">
        <v>42643</v>
      </c>
      <c r="R19" s="690"/>
      <c r="S19" s="701">
        <f t="shared" si="0"/>
        <v>1194</v>
      </c>
      <c r="T19" s="690" t="s">
        <v>906</v>
      </c>
      <c r="U19" s="309" t="str">
        <f t="shared" si="1"/>
        <v/>
      </c>
    </row>
    <row r="20" spans="1:22" ht="30.2" customHeight="1" x14ac:dyDescent="0.2">
      <c r="A20" s="684"/>
      <c r="B20" s="683" t="s">
        <v>1145</v>
      </c>
      <c r="C20" s="683" t="s">
        <v>1146</v>
      </c>
      <c r="D20" s="699" t="s">
        <v>289</v>
      </c>
      <c r="E20" s="689" t="s">
        <v>986</v>
      </c>
      <c r="F20" s="701">
        <v>120</v>
      </c>
      <c r="G20" s="690" t="s">
        <v>880</v>
      </c>
      <c r="H20" s="702" t="s">
        <v>987</v>
      </c>
      <c r="I20" s="1271">
        <v>38990</v>
      </c>
      <c r="J20" s="704">
        <v>0</v>
      </c>
      <c r="K20" s="690" t="s">
        <v>885</v>
      </c>
      <c r="L20" s="705"/>
      <c r="M20" s="698">
        <v>0</v>
      </c>
      <c r="N20" s="690" t="s">
        <v>906</v>
      </c>
      <c r="O20" s="704">
        <f t="shared" ref="O20:O22" si="2">$S$1-I20</f>
        <v>2459</v>
      </c>
      <c r="P20" s="690" t="s">
        <v>906</v>
      </c>
      <c r="Q20" s="706">
        <v>42643</v>
      </c>
      <c r="R20" s="690"/>
      <c r="S20" s="701">
        <f t="shared" si="0"/>
        <v>1194</v>
      </c>
      <c r="T20" s="690" t="s">
        <v>906</v>
      </c>
      <c r="U20" s="309" t="str">
        <f t="shared" si="1"/>
        <v/>
      </c>
    </row>
    <row r="21" spans="1:22" ht="30.2" customHeight="1" x14ac:dyDescent="0.2">
      <c r="A21" s="684"/>
      <c r="B21" s="683" t="s">
        <v>1145</v>
      </c>
      <c r="C21" s="683" t="s">
        <v>1146</v>
      </c>
      <c r="D21" s="699" t="s">
        <v>289</v>
      </c>
      <c r="E21" s="689" t="s">
        <v>986</v>
      </c>
      <c r="F21" s="701">
        <v>120</v>
      </c>
      <c r="G21" s="690" t="s">
        <v>880</v>
      </c>
      <c r="H21" s="702" t="s">
        <v>987</v>
      </c>
      <c r="I21" s="1271">
        <v>38990</v>
      </c>
      <c r="J21" s="704">
        <v>0</v>
      </c>
      <c r="K21" s="690" t="s">
        <v>885</v>
      </c>
      <c r="L21" s="705"/>
      <c r="M21" s="698">
        <v>0</v>
      </c>
      <c r="N21" s="690" t="s">
        <v>906</v>
      </c>
      <c r="O21" s="704">
        <f t="shared" si="2"/>
        <v>2459</v>
      </c>
      <c r="P21" s="690" t="s">
        <v>906</v>
      </c>
      <c r="Q21" s="706">
        <v>42643</v>
      </c>
      <c r="R21" s="690"/>
      <c r="S21" s="701">
        <f t="shared" ref="S21:S22" si="3">Q21-$S$1</f>
        <v>1194</v>
      </c>
      <c r="T21" s="690" t="s">
        <v>906</v>
      </c>
    </row>
    <row r="22" spans="1:22" ht="30.2" customHeight="1" x14ac:dyDescent="0.2">
      <c r="A22" s="684"/>
      <c r="B22" s="683" t="s">
        <v>1145</v>
      </c>
      <c r="C22" s="683" t="s">
        <v>1146</v>
      </c>
      <c r="D22" s="699" t="s">
        <v>289</v>
      </c>
      <c r="E22" s="689" t="s">
        <v>986</v>
      </c>
      <c r="F22" s="701">
        <v>120</v>
      </c>
      <c r="G22" s="690" t="s">
        <v>880</v>
      </c>
      <c r="H22" s="702" t="s">
        <v>987</v>
      </c>
      <c r="I22" s="1271">
        <v>38990</v>
      </c>
      <c r="J22" s="704">
        <v>0</v>
      </c>
      <c r="K22" s="690" t="s">
        <v>885</v>
      </c>
      <c r="L22" s="705"/>
      <c r="M22" s="698">
        <v>0</v>
      </c>
      <c r="N22" s="690" t="s">
        <v>906</v>
      </c>
      <c r="O22" s="704">
        <f t="shared" si="2"/>
        <v>2459</v>
      </c>
      <c r="P22" s="690" t="s">
        <v>906</v>
      </c>
      <c r="Q22" s="706">
        <v>42643</v>
      </c>
      <c r="R22" s="690"/>
      <c r="S22" s="701">
        <f t="shared" si="3"/>
        <v>1194</v>
      </c>
      <c r="T22" s="690" t="s">
        <v>906</v>
      </c>
    </row>
    <row r="23" spans="1:22" ht="27.75" customHeight="1" x14ac:dyDescent="0.2">
      <c r="A23" s="1259"/>
      <c r="B23" s="1642" t="s">
        <v>965</v>
      </c>
      <c r="C23" s="1634" t="s">
        <v>966</v>
      </c>
      <c r="D23" s="1634">
        <v>205</v>
      </c>
      <c r="E23" s="1635" t="s">
        <v>968</v>
      </c>
      <c r="F23" s="707">
        <v>60</v>
      </c>
      <c r="G23" s="1251" t="s">
        <v>880</v>
      </c>
      <c r="H23" s="1640" t="s">
        <v>0</v>
      </c>
      <c r="I23" s="1611">
        <v>41001</v>
      </c>
      <c r="J23" s="1613">
        <v>0</v>
      </c>
      <c r="K23" s="1615" t="s">
        <v>897</v>
      </c>
      <c r="L23" s="708"/>
      <c r="M23" s="1617">
        <v>187</v>
      </c>
      <c r="N23" s="1615" t="s">
        <v>897</v>
      </c>
      <c r="O23" s="1613">
        <v>187</v>
      </c>
      <c r="P23" s="1615" t="s">
        <v>897</v>
      </c>
      <c r="Q23" s="709">
        <v>42581</v>
      </c>
      <c r="R23" s="1251"/>
      <c r="S23" s="707">
        <f>Q23-$S$1</f>
        <v>1132</v>
      </c>
      <c r="T23" s="1251" t="s">
        <v>906</v>
      </c>
      <c r="U23" s="309" t="str">
        <f>IF(S:S&lt;=50,"ALERTA","")</f>
        <v/>
      </c>
    </row>
    <row r="24" spans="1:22" ht="18" customHeight="1" x14ac:dyDescent="0.2">
      <c r="A24" s="1259"/>
      <c r="B24" s="1620"/>
      <c r="C24" s="1622"/>
      <c r="D24" s="1622"/>
      <c r="E24" s="1639"/>
      <c r="F24" s="710">
        <v>2000</v>
      </c>
      <c r="G24" s="1252" t="s">
        <v>897</v>
      </c>
      <c r="H24" s="1641"/>
      <c r="I24" s="1612"/>
      <c r="J24" s="1614"/>
      <c r="K24" s="1616"/>
      <c r="L24" s="712"/>
      <c r="M24" s="1618"/>
      <c r="N24" s="1616"/>
      <c r="O24" s="1614"/>
      <c r="P24" s="1616"/>
      <c r="Q24" s="710">
        <v>2000</v>
      </c>
      <c r="R24" s="1252" t="s">
        <v>897</v>
      </c>
      <c r="S24" s="710">
        <f>2000-O23</f>
        <v>1813</v>
      </c>
      <c r="T24" s="1252" t="s">
        <v>897</v>
      </c>
      <c r="U24" s="309" t="str">
        <f>IF(S:S&lt;=50,"ALERTA","")</f>
        <v/>
      </c>
    </row>
    <row r="25" spans="1:22" ht="27.75" customHeight="1" x14ac:dyDescent="0.2">
      <c r="A25" s="1259"/>
      <c r="B25" s="1642" t="s">
        <v>998</v>
      </c>
      <c r="C25" s="1634" t="s">
        <v>1330</v>
      </c>
      <c r="D25" s="1634" t="s">
        <v>1331</v>
      </c>
      <c r="E25" s="1258" t="s">
        <v>968</v>
      </c>
      <c r="F25" s="701">
        <v>48</v>
      </c>
      <c r="G25" s="690" t="s">
        <v>880</v>
      </c>
      <c r="H25" s="705" t="s">
        <v>987</v>
      </c>
      <c r="I25" s="703">
        <v>40742</v>
      </c>
      <c r="J25" s="704">
        <v>0</v>
      </c>
      <c r="K25" s="690" t="s">
        <v>885</v>
      </c>
      <c r="L25" s="705"/>
      <c r="M25" s="698">
        <v>0</v>
      </c>
      <c r="N25" s="690" t="s">
        <v>906</v>
      </c>
      <c r="O25" s="704">
        <f>S1-I25</f>
        <v>707</v>
      </c>
      <c r="P25" s="690" t="s">
        <v>906</v>
      </c>
      <c r="Q25" s="706">
        <f>I25+(365*4)</f>
        <v>42202</v>
      </c>
      <c r="R25" s="690"/>
      <c r="S25" s="701">
        <f>Q25-$S$1</f>
        <v>753</v>
      </c>
      <c r="T25" s="690" t="s">
        <v>906</v>
      </c>
      <c r="U25" s="1272"/>
    </row>
    <row r="26" spans="1:22" ht="18" customHeight="1" x14ac:dyDescent="0.2">
      <c r="A26" s="1259"/>
      <c r="B26" s="1619"/>
      <c r="C26" s="1622"/>
      <c r="D26" s="1622"/>
      <c r="E26" s="1258"/>
      <c r="F26" s="707">
        <v>500</v>
      </c>
      <c r="G26" s="1251" t="s">
        <v>897</v>
      </c>
      <c r="H26" s="1263" t="s">
        <v>987</v>
      </c>
      <c r="I26" s="1247">
        <v>41001</v>
      </c>
      <c r="J26" s="1249">
        <v>0</v>
      </c>
      <c r="K26" s="1251" t="s">
        <v>897</v>
      </c>
      <c r="L26" s="708"/>
      <c r="M26" s="1254">
        <v>0</v>
      </c>
      <c r="N26" s="1251" t="s">
        <v>897</v>
      </c>
      <c r="O26" s="1249">
        <v>187</v>
      </c>
      <c r="P26" s="1251" t="s">
        <v>897</v>
      </c>
      <c r="Q26" s="701">
        <v>500</v>
      </c>
      <c r="R26" s="690" t="s">
        <v>897</v>
      </c>
      <c r="S26" s="701">
        <f>Q26-O26</f>
        <v>313</v>
      </c>
      <c r="T26" s="690" t="s">
        <v>897</v>
      </c>
    </row>
    <row r="27" spans="1:22" ht="43.5" customHeight="1" x14ac:dyDescent="0.2">
      <c r="A27" s="1259"/>
      <c r="B27" s="1642" t="s">
        <v>1154</v>
      </c>
      <c r="C27" s="1634" t="s">
        <v>1332</v>
      </c>
      <c r="D27" s="1642" t="s">
        <v>1333</v>
      </c>
      <c r="E27" s="1256" t="s">
        <v>968</v>
      </c>
      <c r="F27" s="707">
        <v>36</v>
      </c>
      <c r="G27" s="1251" t="s">
        <v>880</v>
      </c>
      <c r="H27" s="1263" t="s">
        <v>987</v>
      </c>
      <c r="I27" s="703">
        <v>40385</v>
      </c>
      <c r="J27" s="704">
        <v>0</v>
      </c>
      <c r="K27" s="690" t="s">
        <v>885</v>
      </c>
      <c r="L27" s="705"/>
      <c r="M27" s="698">
        <v>0</v>
      </c>
      <c r="N27" s="690" t="s">
        <v>906</v>
      </c>
      <c r="O27" s="704">
        <f>S1-I27</f>
        <v>1064</v>
      </c>
      <c r="P27" s="690" t="s">
        <v>906</v>
      </c>
      <c r="Q27" s="706">
        <f>I27+(365*3)</f>
        <v>41480</v>
      </c>
      <c r="R27" s="690"/>
      <c r="S27" s="701">
        <f>Q27-$S$1</f>
        <v>31</v>
      </c>
      <c r="T27" s="690" t="s">
        <v>906</v>
      </c>
    </row>
    <row r="28" spans="1:22" ht="18" customHeight="1" x14ac:dyDescent="0.2">
      <c r="A28" s="1259"/>
      <c r="B28" s="1620"/>
      <c r="C28" s="1622"/>
      <c r="D28" s="1620"/>
      <c r="E28" s="1257"/>
      <c r="F28" s="701">
        <v>108</v>
      </c>
      <c r="G28" s="690" t="s">
        <v>880</v>
      </c>
      <c r="H28" s="705" t="s">
        <v>987</v>
      </c>
      <c r="I28" s="703">
        <v>39979</v>
      </c>
      <c r="J28" s="704">
        <v>0</v>
      </c>
      <c r="K28" s="690" t="s">
        <v>885</v>
      </c>
      <c r="L28" s="705"/>
      <c r="M28" s="698">
        <v>0</v>
      </c>
      <c r="N28" s="690" t="s">
        <v>906</v>
      </c>
      <c r="O28" s="704">
        <f>S1-I28</f>
        <v>1470</v>
      </c>
      <c r="P28" s="690" t="s">
        <v>906</v>
      </c>
      <c r="Q28" s="706">
        <f>I28+(365*9)</f>
        <v>43264</v>
      </c>
      <c r="R28" s="690"/>
      <c r="S28" s="701">
        <f>Q28-$S$1</f>
        <v>1815</v>
      </c>
      <c r="T28" s="690" t="s">
        <v>906</v>
      </c>
      <c r="V28" s="309">
        <f>108/12</f>
        <v>9</v>
      </c>
    </row>
    <row r="29" spans="1:22" ht="30" customHeight="1" x14ac:dyDescent="0.2">
      <c r="A29" s="684"/>
      <c r="B29" s="983" t="s">
        <v>1001</v>
      </c>
      <c r="C29" s="713" t="s">
        <v>1405</v>
      </c>
      <c r="D29" s="714" t="s">
        <v>1406</v>
      </c>
      <c r="E29" s="715" t="s">
        <v>1000</v>
      </c>
      <c r="F29" s="1689" t="s">
        <v>1407</v>
      </c>
      <c r="G29" s="1690"/>
      <c r="H29" s="716" t="s">
        <v>987</v>
      </c>
      <c r="I29" s="717">
        <v>41329</v>
      </c>
      <c r="J29" s="975">
        <v>1122.9000000000001</v>
      </c>
      <c r="K29" s="690" t="s">
        <v>885</v>
      </c>
      <c r="L29" s="712"/>
      <c r="M29" s="719">
        <v>0</v>
      </c>
      <c r="N29" s="1252" t="s">
        <v>906</v>
      </c>
      <c r="O29" s="704">
        <f>S1-I29</f>
        <v>120</v>
      </c>
      <c r="P29" s="690" t="s">
        <v>906</v>
      </c>
      <c r="Q29" s="720">
        <v>42979</v>
      </c>
      <c r="R29" s="692"/>
      <c r="S29" s="710">
        <f>Q29-$S$1</f>
        <v>1530</v>
      </c>
      <c r="T29" s="692" t="s">
        <v>906</v>
      </c>
    </row>
    <row r="30" spans="1:22" x14ac:dyDescent="0.2">
      <c r="A30" s="1683"/>
      <c r="B30" s="1642" t="s">
        <v>1334</v>
      </c>
      <c r="C30" s="1634" t="s">
        <v>1324</v>
      </c>
      <c r="D30" s="1648" t="s">
        <v>1325</v>
      </c>
      <c r="E30" s="1635" t="s">
        <v>969</v>
      </c>
      <c r="F30" s="707">
        <v>36</v>
      </c>
      <c r="G30" s="691" t="s">
        <v>880</v>
      </c>
      <c r="H30" s="1640" t="s">
        <v>0</v>
      </c>
      <c r="I30" s="1611">
        <v>41143</v>
      </c>
      <c r="J30" s="1697">
        <v>2892</v>
      </c>
      <c r="K30" s="1699" t="s">
        <v>882</v>
      </c>
      <c r="L30" s="708"/>
      <c r="M30" s="772">
        <f>I30-V30</f>
        <v>570</v>
      </c>
      <c r="N30" s="1261" t="s">
        <v>906</v>
      </c>
      <c r="O30" s="771">
        <f>M30+(S1-I30)</f>
        <v>876</v>
      </c>
      <c r="P30" s="1261" t="s">
        <v>906</v>
      </c>
      <c r="Q30" s="709">
        <v>41669</v>
      </c>
      <c r="R30" s="691"/>
      <c r="S30" s="707">
        <f>Q30-$S$1</f>
        <v>220</v>
      </c>
      <c r="T30" s="691" t="s">
        <v>906</v>
      </c>
      <c r="U30" s="1272"/>
      <c r="V30" s="1291">
        <v>40573</v>
      </c>
    </row>
    <row r="31" spans="1:22" ht="18" customHeight="1" x14ac:dyDescent="0.2">
      <c r="A31" s="1683"/>
      <c r="B31" s="1620"/>
      <c r="C31" s="1622"/>
      <c r="D31" s="1649"/>
      <c r="E31" s="1639"/>
      <c r="F31" s="710">
        <v>5000</v>
      </c>
      <c r="G31" s="692" t="s">
        <v>882</v>
      </c>
      <c r="H31" s="1641"/>
      <c r="I31" s="1612"/>
      <c r="J31" s="1698"/>
      <c r="K31" s="1700"/>
      <c r="L31" s="1289"/>
      <c r="M31" s="1290">
        <v>0</v>
      </c>
      <c r="N31" s="1288" t="s">
        <v>882</v>
      </c>
      <c r="O31" s="1287">
        <f>M31+($C$5-J30)</f>
        <v>640</v>
      </c>
      <c r="P31" s="1288" t="s">
        <v>882</v>
      </c>
      <c r="Q31" s="710">
        <f>(F31-O30)+$C$5</f>
        <v>7656</v>
      </c>
      <c r="R31" s="692" t="s">
        <v>882</v>
      </c>
      <c r="S31" s="710">
        <f>Q31-$C$5</f>
        <v>4124</v>
      </c>
      <c r="T31" s="692" t="s">
        <v>882</v>
      </c>
      <c r="V31" s="1272"/>
    </row>
    <row r="32" spans="1:22" ht="30" customHeight="1" x14ac:dyDescent="0.2">
      <c r="A32" s="684"/>
      <c r="B32" s="1670" t="s">
        <v>971</v>
      </c>
      <c r="C32" s="1079" t="s">
        <v>970</v>
      </c>
      <c r="D32" s="1085">
        <v>66623</v>
      </c>
      <c r="E32" s="1081" t="s">
        <v>972</v>
      </c>
      <c r="F32" s="1086">
        <v>60</v>
      </c>
      <c r="G32" s="1087" t="s">
        <v>880</v>
      </c>
      <c r="H32" s="1088" t="s">
        <v>0</v>
      </c>
      <c r="I32" s="1089">
        <v>40661</v>
      </c>
      <c r="J32" s="1090">
        <v>0</v>
      </c>
      <c r="K32" s="690" t="s">
        <v>885</v>
      </c>
      <c r="L32" s="617"/>
      <c r="M32" s="1091">
        <v>0</v>
      </c>
      <c r="N32" s="1078" t="s">
        <v>906</v>
      </c>
      <c r="O32" s="1090">
        <f>S1-I32</f>
        <v>788</v>
      </c>
      <c r="P32" s="1078" t="s">
        <v>906</v>
      </c>
      <c r="Q32" s="1092">
        <v>42490</v>
      </c>
      <c r="R32" s="1078"/>
      <c r="S32" s="1077">
        <f t="shared" ref="S32" si="4">Q32-$S$1</f>
        <v>1041</v>
      </c>
      <c r="T32" s="1078" t="s">
        <v>906</v>
      </c>
    </row>
    <row r="33" spans="1:21" ht="20.100000000000001" customHeight="1" x14ac:dyDescent="0.2">
      <c r="A33" s="684"/>
      <c r="B33" s="1685"/>
      <c r="C33" s="1080"/>
      <c r="D33" s="1093"/>
      <c r="E33" s="1082"/>
      <c r="F33" s="1086">
        <v>6</v>
      </c>
      <c r="G33" s="1087" t="s">
        <v>880</v>
      </c>
      <c r="H33" s="1088" t="s">
        <v>1148</v>
      </c>
      <c r="I33" s="1089">
        <v>41418</v>
      </c>
      <c r="J33" s="1090" t="s">
        <v>4</v>
      </c>
      <c r="K33" s="1078"/>
      <c r="L33" s="617"/>
      <c r="M33" s="1091" t="s">
        <v>4</v>
      </c>
      <c r="N33" s="1078"/>
      <c r="O33" s="1090" t="s">
        <v>4</v>
      </c>
      <c r="P33" s="1078"/>
      <c r="Q33" s="1092">
        <f>I33+(365/2)</f>
        <v>41600.5</v>
      </c>
      <c r="R33" s="1078"/>
      <c r="S33" s="1077">
        <f t="shared" ref="S33" si="5">Q33-$S$1</f>
        <v>151.5</v>
      </c>
      <c r="T33" s="1078" t="s">
        <v>906</v>
      </c>
      <c r="U33" s="309" t="str">
        <f>IF(S:S&lt;=50,"ALERTA","")</f>
        <v/>
      </c>
    </row>
    <row r="34" spans="1:21" ht="18" customHeight="1" x14ac:dyDescent="0.2">
      <c r="A34" s="684"/>
      <c r="B34" s="1642" t="s">
        <v>1002</v>
      </c>
      <c r="C34" s="736" t="s">
        <v>1003</v>
      </c>
      <c r="D34" s="755" t="s">
        <v>1149</v>
      </c>
      <c r="E34" s="737" t="s">
        <v>972</v>
      </c>
      <c r="F34" s="757">
        <v>36</v>
      </c>
      <c r="G34" s="758" t="s">
        <v>880</v>
      </c>
      <c r="H34" s="744" t="s">
        <v>987</v>
      </c>
      <c r="I34" s="729">
        <v>40385</v>
      </c>
      <c r="J34" s="730">
        <v>0</v>
      </c>
      <c r="K34" s="1251" t="s">
        <v>885</v>
      </c>
      <c r="L34" s="731"/>
      <c r="M34" s="732">
        <v>0</v>
      </c>
      <c r="N34" s="1251" t="s">
        <v>906</v>
      </c>
      <c r="O34" s="730">
        <f>S1-I34</f>
        <v>1064</v>
      </c>
      <c r="P34" s="1251" t="s">
        <v>906</v>
      </c>
      <c r="Q34" s="709">
        <v>41486</v>
      </c>
      <c r="R34" s="691"/>
      <c r="S34" s="707">
        <f t="shared" ref="S34:S35" si="6">Q34-$S$1</f>
        <v>37</v>
      </c>
      <c r="T34" s="691" t="s">
        <v>906</v>
      </c>
    </row>
    <row r="35" spans="1:21" ht="18" customHeight="1" x14ac:dyDescent="0.2">
      <c r="A35" s="684"/>
      <c r="B35" s="1620"/>
      <c r="C35" s="713"/>
      <c r="D35" s="714"/>
      <c r="E35" s="738"/>
      <c r="F35" s="741">
        <v>42</v>
      </c>
      <c r="G35" s="742" t="s">
        <v>880</v>
      </c>
      <c r="H35" s="716" t="s">
        <v>999</v>
      </c>
      <c r="I35" s="717">
        <v>40165</v>
      </c>
      <c r="J35" s="718"/>
      <c r="K35" s="692"/>
      <c r="L35" s="769"/>
      <c r="M35" s="719">
        <v>0</v>
      </c>
      <c r="N35" s="1252" t="s">
        <v>906</v>
      </c>
      <c r="O35" s="718">
        <f>S1-I35</f>
        <v>1284</v>
      </c>
      <c r="P35" s="1252" t="s">
        <v>906</v>
      </c>
      <c r="Q35" s="720">
        <v>41455</v>
      </c>
      <c r="R35" s="692"/>
      <c r="S35" s="710">
        <f t="shared" si="6"/>
        <v>6</v>
      </c>
      <c r="T35" s="692" t="s">
        <v>906</v>
      </c>
    </row>
    <row r="36" spans="1:21" ht="18" customHeight="1" x14ac:dyDescent="0.2">
      <c r="A36" s="684"/>
      <c r="B36" s="1642" t="s">
        <v>1002</v>
      </c>
      <c r="C36" s="736" t="s">
        <v>1153</v>
      </c>
      <c r="D36" s="755" t="s">
        <v>1150</v>
      </c>
      <c r="E36" s="756" t="s">
        <v>972</v>
      </c>
      <c r="F36" s="757">
        <v>36</v>
      </c>
      <c r="G36" s="758" t="s">
        <v>880</v>
      </c>
      <c r="H36" s="744" t="s">
        <v>987</v>
      </c>
      <c r="I36" s="729">
        <v>40385</v>
      </c>
      <c r="J36" s="730">
        <v>0</v>
      </c>
      <c r="K36" s="1251" t="s">
        <v>885</v>
      </c>
      <c r="L36" s="731"/>
      <c r="M36" s="732">
        <v>0</v>
      </c>
      <c r="N36" s="1251" t="s">
        <v>906</v>
      </c>
      <c r="O36" s="730">
        <f>S1-I36</f>
        <v>1064</v>
      </c>
      <c r="P36" s="1251" t="s">
        <v>906</v>
      </c>
      <c r="Q36" s="709">
        <v>41486</v>
      </c>
      <c r="R36" s="691"/>
      <c r="S36" s="707">
        <f t="shared" ref="S36:S41" si="7">Q36-$S$1</f>
        <v>37</v>
      </c>
      <c r="T36" s="691" t="s">
        <v>906</v>
      </c>
    </row>
    <row r="37" spans="1:21" ht="18" customHeight="1" x14ac:dyDescent="0.2">
      <c r="A37" s="684"/>
      <c r="B37" s="1620"/>
      <c r="C37" s="713"/>
      <c r="D37" s="714"/>
      <c r="E37" s="715"/>
      <c r="F37" s="741">
        <v>42</v>
      </c>
      <c r="G37" s="742" t="s">
        <v>880</v>
      </c>
      <c r="H37" s="716" t="s">
        <v>999</v>
      </c>
      <c r="I37" s="717">
        <v>40165</v>
      </c>
      <c r="J37" s="718"/>
      <c r="K37" s="692"/>
      <c r="L37" s="769"/>
      <c r="M37" s="719">
        <v>0</v>
      </c>
      <c r="N37" s="1252" t="s">
        <v>906</v>
      </c>
      <c r="O37" s="718">
        <f>S1-I37</f>
        <v>1284</v>
      </c>
      <c r="P37" s="1252" t="s">
        <v>906</v>
      </c>
      <c r="Q37" s="720">
        <v>41455</v>
      </c>
      <c r="R37" s="692"/>
      <c r="S37" s="710">
        <f t="shared" si="7"/>
        <v>6</v>
      </c>
      <c r="T37" s="692" t="s">
        <v>906</v>
      </c>
    </row>
    <row r="38" spans="1:21" ht="30" customHeight="1" x14ac:dyDescent="0.2">
      <c r="A38" s="684"/>
      <c r="B38" s="1670" t="s">
        <v>971</v>
      </c>
      <c r="C38" s="1265" t="s">
        <v>970</v>
      </c>
      <c r="D38" s="1085">
        <v>66625</v>
      </c>
      <c r="E38" s="1267" t="s">
        <v>972</v>
      </c>
      <c r="F38" s="1086">
        <v>60</v>
      </c>
      <c r="G38" s="1087" t="s">
        <v>880</v>
      </c>
      <c r="H38" s="1094" t="s">
        <v>0</v>
      </c>
      <c r="I38" s="1089">
        <v>40661</v>
      </c>
      <c r="J38" s="1090">
        <v>0</v>
      </c>
      <c r="K38" s="690" t="s">
        <v>885</v>
      </c>
      <c r="L38" s="617"/>
      <c r="M38" s="1091">
        <v>0</v>
      </c>
      <c r="N38" s="1078" t="s">
        <v>906</v>
      </c>
      <c r="O38" s="1090">
        <f>S1-I38</f>
        <v>788</v>
      </c>
      <c r="P38" s="1078" t="s">
        <v>906</v>
      </c>
      <c r="Q38" s="1092">
        <v>42490</v>
      </c>
      <c r="R38" s="1078"/>
      <c r="S38" s="1077">
        <f t="shared" si="7"/>
        <v>1041</v>
      </c>
      <c r="T38" s="1078" t="s">
        <v>906</v>
      </c>
    </row>
    <row r="39" spans="1:21" ht="28.5" customHeight="1" x14ac:dyDescent="0.2">
      <c r="A39" s="684"/>
      <c r="B39" s="1685"/>
      <c r="C39" s="1266"/>
      <c r="D39" s="1093"/>
      <c r="E39" s="1268"/>
      <c r="F39" s="1086">
        <v>6</v>
      </c>
      <c r="G39" s="1087" t="s">
        <v>880</v>
      </c>
      <c r="H39" s="1088" t="s">
        <v>1148</v>
      </c>
      <c r="I39" s="1089">
        <v>41418</v>
      </c>
      <c r="J39" s="1090" t="s">
        <v>4</v>
      </c>
      <c r="K39" s="1078"/>
      <c r="L39" s="617"/>
      <c r="M39" s="1091" t="s">
        <v>4</v>
      </c>
      <c r="N39" s="1078"/>
      <c r="O39" s="1090" t="s">
        <v>4</v>
      </c>
      <c r="P39" s="1078"/>
      <c r="Q39" s="1092">
        <f>I39+(365/2)</f>
        <v>41600.5</v>
      </c>
      <c r="R39" s="1078"/>
      <c r="S39" s="1077">
        <f t="shared" si="7"/>
        <v>151.5</v>
      </c>
      <c r="T39" s="1078" t="s">
        <v>906</v>
      </c>
      <c r="U39" s="309" t="str">
        <f>IF(S:S&lt;=50,"ALERTA","")</f>
        <v/>
      </c>
    </row>
    <row r="40" spans="1:21" ht="18" customHeight="1" x14ac:dyDescent="0.2">
      <c r="A40" s="684"/>
      <c r="B40" s="1642" t="s">
        <v>1002</v>
      </c>
      <c r="C40" s="1245" t="s">
        <v>1003</v>
      </c>
      <c r="D40" s="755" t="s">
        <v>1151</v>
      </c>
      <c r="E40" s="1256" t="s">
        <v>972</v>
      </c>
      <c r="F40" s="757">
        <v>36</v>
      </c>
      <c r="G40" s="758" t="s">
        <v>880</v>
      </c>
      <c r="H40" s="744" t="s">
        <v>987</v>
      </c>
      <c r="I40" s="1247">
        <v>40385</v>
      </c>
      <c r="J40" s="1249">
        <v>0</v>
      </c>
      <c r="K40" s="1251" t="s">
        <v>885</v>
      </c>
      <c r="L40" s="1263"/>
      <c r="M40" s="1254">
        <v>0</v>
      </c>
      <c r="N40" s="1251" t="s">
        <v>906</v>
      </c>
      <c r="O40" s="1249">
        <f>S1-I40</f>
        <v>1064</v>
      </c>
      <c r="P40" s="1251" t="s">
        <v>906</v>
      </c>
      <c r="Q40" s="709">
        <v>41486</v>
      </c>
      <c r="R40" s="1251"/>
      <c r="S40" s="707">
        <f t="shared" si="7"/>
        <v>37</v>
      </c>
      <c r="T40" s="1251" t="s">
        <v>906</v>
      </c>
    </row>
    <row r="41" spans="1:21" ht="18" customHeight="1" x14ac:dyDescent="0.2">
      <c r="A41" s="684"/>
      <c r="B41" s="1620"/>
      <c r="C41" s="1246"/>
      <c r="D41" s="714"/>
      <c r="E41" s="1257"/>
      <c r="F41" s="741">
        <v>42</v>
      </c>
      <c r="G41" s="742" t="s">
        <v>880</v>
      </c>
      <c r="H41" s="716" t="s">
        <v>999</v>
      </c>
      <c r="I41" s="1248">
        <v>40165</v>
      </c>
      <c r="J41" s="1250"/>
      <c r="K41" s="1252"/>
      <c r="L41" s="1264"/>
      <c r="M41" s="1255">
        <v>0</v>
      </c>
      <c r="N41" s="1252" t="s">
        <v>906</v>
      </c>
      <c r="O41" s="1250">
        <f>S1-I41</f>
        <v>1284</v>
      </c>
      <c r="P41" s="1252" t="s">
        <v>906</v>
      </c>
      <c r="Q41" s="720">
        <v>41455</v>
      </c>
      <c r="R41" s="1252"/>
      <c r="S41" s="710">
        <f t="shared" si="7"/>
        <v>6</v>
      </c>
      <c r="T41" s="1252" t="s">
        <v>906</v>
      </c>
    </row>
    <row r="42" spans="1:21" ht="18" customHeight="1" x14ac:dyDescent="0.2">
      <c r="A42" s="684"/>
      <c r="B42" s="1642" t="s">
        <v>1002</v>
      </c>
      <c r="C42" s="1182" t="s">
        <v>1153</v>
      </c>
      <c r="D42" s="755" t="s">
        <v>1152</v>
      </c>
      <c r="E42" s="756" t="s">
        <v>972</v>
      </c>
      <c r="F42" s="757">
        <v>36</v>
      </c>
      <c r="G42" s="758" t="s">
        <v>880</v>
      </c>
      <c r="H42" s="744" t="s">
        <v>987</v>
      </c>
      <c r="I42" s="1184">
        <v>40385</v>
      </c>
      <c r="J42" s="1186">
        <v>0</v>
      </c>
      <c r="K42" s="1251" t="s">
        <v>885</v>
      </c>
      <c r="L42" s="1193"/>
      <c r="M42" s="1190">
        <v>0</v>
      </c>
      <c r="N42" s="1251" t="s">
        <v>906</v>
      </c>
      <c r="O42" s="1186">
        <f>S1-I42</f>
        <v>1064</v>
      </c>
      <c r="P42" s="1251" t="s">
        <v>906</v>
      </c>
      <c r="Q42" s="709">
        <v>41486</v>
      </c>
      <c r="R42" s="1188"/>
      <c r="S42" s="707">
        <f t="shared" ref="S42:S45" si="8">Q42-$S$1</f>
        <v>37</v>
      </c>
      <c r="T42" s="1188" t="s">
        <v>906</v>
      </c>
    </row>
    <row r="43" spans="1:21" ht="18" customHeight="1" x14ac:dyDescent="0.2">
      <c r="A43" s="684"/>
      <c r="B43" s="1620"/>
      <c r="C43" s="1183"/>
      <c r="D43" s="714"/>
      <c r="E43" s="715"/>
      <c r="F43" s="741">
        <v>42</v>
      </c>
      <c r="G43" s="742" t="s">
        <v>880</v>
      </c>
      <c r="H43" s="716" t="s">
        <v>999</v>
      </c>
      <c r="I43" s="1185">
        <v>40165</v>
      </c>
      <c r="J43" s="1187"/>
      <c r="K43" s="1189"/>
      <c r="L43" s="1194"/>
      <c r="M43" s="1191">
        <v>0</v>
      </c>
      <c r="N43" s="1252" t="s">
        <v>906</v>
      </c>
      <c r="O43" s="1187">
        <f>S1-I43</f>
        <v>1284</v>
      </c>
      <c r="P43" s="1252" t="s">
        <v>906</v>
      </c>
      <c r="Q43" s="720">
        <v>41455</v>
      </c>
      <c r="R43" s="1189"/>
      <c r="S43" s="710">
        <f t="shared" si="8"/>
        <v>6</v>
      </c>
      <c r="T43" s="1189" t="s">
        <v>906</v>
      </c>
    </row>
    <row r="44" spans="1:21" ht="18" customHeight="1" x14ac:dyDescent="0.2">
      <c r="A44" s="1683"/>
      <c r="B44" s="1670" t="s">
        <v>170</v>
      </c>
      <c r="C44" s="1691" t="s">
        <v>1004</v>
      </c>
      <c r="D44" s="1693" t="s">
        <v>1327</v>
      </c>
      <c r="E44" s="1695" t="s">
        <v>1005</v>
      </c>
      <c r="F44" s="1077">
        <v>6</v>
      </c>
      <c r="G44" s="1078" t="s">
        <v>880</v>
      </c>
      <c r="H44" s="1094" t="s">
        <v>1148</v>
      </c>
      <c r="I44" s="1089">
        <v>41418</v>
      </c>
      <c r="J44" s="1090" t="s">
        <v>4</v>
      </c>
      <c r="K44" s="1078"/>
      <c r="L44" s="617"/>
      <c r="M44" s="1091" t="s">
        <v>4</v>
      </c>
      <c r="N44" s="1078"/>
      <c r="O44" s="1090" t="s">
        <v>4</v>
      </c>
      <c r="P44" s="1078"/>
      <c r="Q44" s="1092">
        <f>I44+(365/2)</f>
        <v>41600.5</v>
      </c>
      <c r="R44" s="1078"/>
      <c r="S44" s="1077">
        <f t="shared" si="8"/>
        <v>151.5</v>
      </c>
      <c r="T44" s="1078" t="s">
        <v>906</v>
      </c>
      <c r="U44" s="309" t="str">
        <f>IF(S:S&lt;=50,"ALERTA","")</f>
        <v/>
      </c>
    </row>
    <row r="45" spans="1:21" ht="30" customHeight="1" x14ac:dyDescent="0.2">
      <c r="A45" s="1683"/>
      <c r="B45" s="1685"/>
      <c r="C45" s="1692"/>
      <c r="D45" s="1694"/>
      <c r="E45" s="1696"/>
      <c r="F45" s="1077">
        <v>120</v>
      </c>
      <c r="G45" s="1078" t="s">
        <v>880</v>
      </c>
      <c r="H45" s="1094" t="s">
        <v>987</v>
      </c>
      <c r="I45" s="1089">
        <v>41022</v>
      </c>
      <c r="J45" s="1090">
        <v>0</v>
      </c>
      <c r="K45" s="690" t="s">
        <v>885</v>
      </c>
      <c r="L45" s="617"/>
      <c r="M45" s="1091">
        <v>0</v>
      </c>
      <c r="N45" s="1078" t="s">
        <v>906</v>
      </c>
      <c r="O45" s="1090">
        <f>S1-I45</f>
        <v>427</v>
      </c>
      <c r="P45" s="1078" t="s">
        <v>906</v>
      </c>
      <c r="Q45" s="1092">
        <f>I45+(365*10)</f>
        <v>44672</v>
      </c>
      <c r="R45" s="1078"/>
      <c r="S45" s="1077">
        <f t="shared" si="8"/>
        <v>3223</v>
      </c>
      <c r="T45" s="1078" t="s">
        <v>906</v>
      </c>
      <c r="U45" s="309" t="str">
        <f>IF(S:S&lt;=50,"ALERTA","")</f>
        <v/>
      </c>
    </row>
    <row r="46" spans="1:21" ht="30.2" customHeight="1" x14ac:dyDescent="0.2">
      <c r="A46" s="684"/>
      <c r="B46" s="683" t="s">
        <v>171</v>
      </c>
      <c r="C46" s="614" t="s">
        <v>276</v>
      </c>
      <c r="D46" s="722" t="s">
        <v>1046</v>
      </c>
      <c r="E46" s="723" t="s">
        <v>973</v>
      </c>
      <c r="F46" s="701">
        <v>2400</v>
      </c>
      <c r="G46" s="690" t="s">
        <v>885</v>
      </c>
      <c r="H46" s="702" t="s">
        <v>0</v>
      </c>
      <c r="I46" s="703">
        <v>40164</v>
      </c>
      <c r="J46" s="704">
        <v>418.9</v>
      </c>
      <c r="K46" s="690" t="s">
        <v>885</v>
      </c>
      <c r="L46" s="705"/>
      <c r="M46" s="698">
        <v>0</v>
      </c>
      <c r="N46" s="690" t="s">
        <v>885</v>
      </c>
      <c r="O46" s="704">
        <f>M46+($C$4-J46)</f>
        <v>773.6</v>
      </c>
      <c r="P46" s="690" t="s">
        <v>885</v>
      </c>
      <c r="Q46" s="704">
        <f>(F46-O46)+$C$4</f>
        <v>2818.9</v>
      </c>
      <c r="R46" s="690" t="s">
        <v>885</v>
      </c>
      <c r="S46" s="704">
        <f>Q46-$C$4</f>
        <v>1626.4</v>
      </c>
      <c r="T46" s="690" t="s">
        <v>885</v>
      </c>
      <c r="U46" s="309" t="str">
        <f>IF(S:S&lt;=50,"ALERTA","")</f>
        <v/>
      </c>
    </row>
    <row r="47" spans="1:21" ht="30.2" customHeight="1" x14ac:dyDescent="0.2">
      <c r="A47" s="684"/>
      <c r="B47" s="683" t="s">
        <v>171</v>
      </c>
      <c r="C47" s="614" t="s">
        <v>276</v>
      </c>
      <c r="D47" s="722">
        <v>28809</v>
      </c>
      <c r="E47" s="723" t="s">
        <v>973</v>
      </c>
      <c r="F47" s="701">
        <v>2400</v>
      </c>
      <c r="G47" s="690" t="s">
        <v>885</v>
      </c>
      <c r="H47" s="702" t="s">
        <v>0</v>
      </c>
      <c r="I47" s="703">
        <v>40850</v>
      </c>
      <c r="J47" s="704">
        <v>806.95</v>
      </c>
      <c r="K47" s="690" t="s">
        <v>885</v>
      </c>
      <c r="L47" s="705"/>
      <c r="M47" s="698">
        <v>0</v>
      </c>
      <c r="N47" s="690" t="s">
        <v>885</v>
      </c>
      <c r="O47" s="704">
        <f>M47+($C$4-J47)</f>
        <v>385.54999999999995</v>
      </c>
      <c r="P47" s="690" t="s">
        <v>885</v>
      </c>
      <c r="Q47" s="704">
        <f>(F47-O47)+$C$4</f>
        <v>3206.95</v>
      </c>
      <c r="R47" s="690" t="s">
        <v>885</v>
      </c>
      <c r="S47" s="704">
        <f>Q47-$C$4</f>
        <v>2014.4499999999998</v>
      </c>
      <c r="T47" s="690" t="s">
        <v>885</v>
      </c>
      <c r="U47" s="309" t="str">
        <f>IF(S:S&lt;=50,"ALERTA","")</f>
        <v/>
      </c>
    </row>
    <row r="48" spans="1:21" s="1280" customFormat="1" ht="30.2" customHeight="1" x14ac:dyDescent="0.2">
      <c r="A48" s="1273"/>
      <c r="B48" s="683" t="s">
        <v>1429</v>
      </c>
      <c r="C48" s="614">
        <v>70434416081</v>
      </c>
      <c r="D48" s="722" t="s">
        <v>1430</v>
      </c>
      <c r="E48" s="723" t="s">
        <v>973</v>
      </c>
      <c r="F48" s="701">
        <v>120</v>
      </c>
      <c r="G48" s="690" t="s">
        <v>880</v>
      </c>
      <c r="H48" s="702" t="s">
        <v>987</v>
      </c>
      <c r="I48" s="703">
        <v>39289</v>
      </c>
      <c r="J48" s="704">
        <v>0</v>
      </c>
      <c r="K48" s="690" t="s">
        <v>885</v>
      </c>
      <c r="L48" s="705"/>
      <c r="M48" s="698">
        <v>24</v>
      </c>
      <c r="N48" s="690" t="s">
        <v>906</v>
      </c>
      <c r="O48" s="704">
        <f>M48+($S$1-I48)</f>
        <v>2184</v>
      </c>
      <c r="P48" s="690" t="s">
        <v>906</v>
      </c>
      <c r="Q48" s="706">
        <v>42916</v>
      </c>
      <c r="R48" s="690"/>
      <c r="S48" s="704">
        <f>Q48-$S$1</f>
        <v>1467</v>
      </c>
      <c r="T48" s="690" t="s">
        <v>906</v>
      </c>
    </row>
    <row r="49" spans="1:22" s="1280" customFormat="1" ht="30.2" customHeight="1" x14ac:dyDescent="0.2">
      <c r="A49" s="1273"/>
      <c r="B49" s="683" t="s">
        <v>1429</v>
      </c>
      <c r="C49" s="614">
        <v>70434416082</v>
      </c>
      <c r="D49" s="722" t="s">
        <v>1430</v>
      </c>
      <c r="E49" s="723" t="s">
        <v>973</v>
      </c>
      <c r="F49" s="701">
        <v>120</v>
      </c>
      <c r="G49" s="690" t="s">
        <v>880</v>
      </c>
      <c r="H49" s="702" t="s">
        <v>987</v>
      </c>
      <c r="I49" s="703">
        <v>39289</v>
      </c>
      <c r="J49" s="704">
        <v>0</v>
      </c>
      <c r="K49" s="690" t="s">
        <v>885</v>
      </c>
      <c r="L49" s="705"/>
      <c r="M49" s="698">
        <v>24</v>
      </c>
      <c r="N49" s="690" t="s">
        <v>906</v>
      </c>
      <c r="O49" s="704">
        <f>M49+($S$1-I49)</f>
        <v>2184</v>
      </c>
      <c r="P49" s="690" t="s">
        <v>906</v>
      </c>
      <c r="Q49" s="706">
        <v>42916</v>
      </c>
      <c r="R49" s="690"/>
      <c r="S49" s="704">
        <f>Q49-$S$1</f>
        <v>1467</v>
      </c>
      <c r="T49" s="690" t="s">
        <v>906</v>
      </c>
      <c r="V49" s="1282"/>
    </row>
    <row r="50" spans="1:22" ht="30.2" customHeight="1" x14ac:dyDescent="0.2">
      <c r="A50" s="684"/>
      <c r="B50" s="683" t="s">
        <v>1006</v>
      </c>
      <c r="C50" s="614" t="s">
        <v>1007</v>
      </c>
      <c r="D50" s="722"/>
      <c r="E50" s="723" t="s">
        <v>1008</v>
      </c>
      <c r="F50" s="701">
        <v>84</v>
      </c>
      <c r="G50" s="690" t="s">
        <v>880</v>
      </c>
      <c r="H50" s="702" t="s">
        <v>987</v>
      </c>
      <c r="I50" s="726" t="s">
        <v>979</v>
      </c>
      <c r="J50" s="704"/>
      <c r="K50" s="690"/>
      <c r="L50" s="705"/>
      <c r="M50" s="698"/>
      <c r="N50" s="690"/>
      <c r="O50" s="704"/>
      <c r="P50" s="690"/>
      <c r="Q50" s="704"/>
      <c r="R50" s="690"/>
      <c r="S50" s="704"/>
      <c r="T50" s="690"/>
    </row>
    <row r="51" spans="1:22" ht="30.2" customHeight="1" x14ac:dyDescent="0.2">
      <c r="A51" s="684"/>
      <c r="B51" s="683" t="s">
        <v>974</v>
      </c>
      <c r="C51" s="614" t="s">
        <v>975</v>
      </c>
      <c r="D51" s="722"/>
      <c r="E51" s="723" t="s">
        <v>976</v>
      </c>
      <c r="F51" s="724" t="s">
        <v>977</v>
      </c>
      <c r="G51" s="725" t="s">
        <v>978</v>
      </c>
      <c r="H51" s="702" t="s">
        <v>0</v>
      </c>
      <c r="I51" s="726" t="s">
        <v>979</v>
      </c>
      <c r="J51" s="704"/>
      <c r="K51" s="690"/>
      <c r="L51" s="705"/>
      <c r="M51" s="698"/>
      <c r="N51" s="690"/>
      <c r="O51" s="704"/>
      <c r="P51" s="690"/>
      <c r="Q51" s="704"/>
      <c r="R51" s="690"/>
      <c r="S51" s="704"/>
      <c r="T51" s="690"/>
    </row>
    <row r="52" spans="1:22" ht="30.2" customHeight="1" x14ac:dyDescent="0.2">
      <c r="A52" s="684"/>
      <c r="B52" s="683" t="s">
        <v>167</v>
      </c>
      <c r="C52" s="683" t="s">
        <v>1019</v>
      </c>
      <c r="D52" s="699">
        <v>29420</v>
      </c>
      <c r="E52" s="689" t="s">
        <v>1020</v>
      </c>
      <c r="F52" s="701">
        <v>20000</v>
      </c>
      <c r="G52" s="690" t="s">
        <v>885</v>
      </c>
      <c r="H52" s="702" t="s">
        <v>1021</v>
      </c>
      <c r="I52" s="703">
        <v>39289</v>
      </c>
      <c r="J52" s="704">
        <v>0</v>
      </c>
      <c r="K52" s="690" t="s">
        <v>885</v>
      </c>
      <c r="L52" s="705"/>
      <c r="M52" s="698">
        <v>0</v>
      </c>
      <c r="N52" s="690" t="s">
        <v>885</v>
      </c>
      <c r="O52" s="704">
        <f>M52+($C$4-J52)</f>
        <v>1192.5</v>
      </c>
      <c r="P52" s="690" t="s">
        <v>885</v>
      </c>
      <c r="Q52" s="704">
        <f>J52+(F52-M52)</f>
        <v>20000</v>
      </c>
      <c r="R52" s="690" t="s">
        <v>885</v>
      </c>
      <c r="S52" s="704">
        <f>Q52-$C$4</f>
        <v>18807.5</v>
      </c>
      <c r="T52" s="690" t="s">
        <v>885</v>
      </c>
      <c r="U52" s="309" t="str">
        <f>IF(S:S&lt;=50,"ALERTA","")</f>
        <v/>
      </c>
    </row>
    <row r="53" spans="1:22" ht="30.2" customHeight="1" x14ac:dyDescent="0.2">
      <c r="A53" s="684"/>
      <c r="B53" s="683" t="s">
        <v>167</v>
      </c>
      <c r="C53" s="683" t="s">
        <v>1019</v>
      </c>
      <c r="D53" s="699">
        <v>29438</v>
      </c>
      <c r="E53" s="689" t="s">
        <v>1020</v>
      </c>
      <c r="F53" s="701">
        <v>20000</v>
      </c>
      <c r="G53" s="690" t="s">
        <v>885</v>
      </c>
      <c r="H53" s="702" t="s">
        <v>1021</v>
      </c>
      <c r="I53" s="703">
        <v>39289</v>
      </c>
      <c r="J53" s="704">
        <v>0</v>
      </c>
      <c r="K53" s="690" t="s">
        <v>885</v>
      </c>
      <c r="L53" s="705"/>
      <c r="M53" s="698">
        <v>0</v>
      </c>
      <c r="N53" s="690" t="s">
        <v>885</v>
      </c>
      <c r="O53" s="704">
        <f>M53+($C$4-J53)</f>
        <v>1192.5</v>
      </c>
      <c r="P53" s="690" t="s">
        <v>885</v>
      </c>
      <c r="Q53" s="704">
        <f>(F53-O53)+$C$4</f>
        <v>20000</v>
      </c>
      <c r="R53" s="690" t="s">
        <v>885</v>
      </c>
      <c r="S53" s="704">
        <f>Q53-$C$4</f>
        <v>18807.5</v>
      </c>
      <c r="T53" s="690" t="s">
        <v>885</v>
      </c>
      <c r="U53" s="309" t="str">
        <f>IF(S:S&lt;=50,"ALERTA","")</f>
        <v/>
      </c>
    </row>
    <row r="54" spans="1:22" ht="30.2" customHeight="1" x14ac:dyDescent="0.2">
      <c r="A54" s="684"/>
      <c r="B54" s="683" t="s">
        <v>167</v>
      </c>
      <c r="C54" s="683" t="s">
        <v>1019</v>
      </c>
      <c r="D54" s="699">
        <v>29456</v>
      </c>
      <c r="E54" s="689" t="s">
        <v>1020</v>
      </c>
      <c r="F54" s="701">
        <v>20000</v>
      </c>
      <c r="G54" s="690" t="s">
        <v>885</v>
      </c>
      <c r="H54" s="702" t="s">
        <v>1021</v>
      </c>
      <c r="I54" s="703">
        <v>39289</v>
      </c>
      <c r="J54" s="704">
        <v>0</v>
      </c>
      <c r="K54" s="690" t="s">
        <v>885</v>
      </c>
      <c r="L54" s="705"/>
      <c r="M54" s="698">
        <v>0</v>
      </c>
      <c r="N54" s="690" t="s">
        <v>885</v>
      </c>
      <c r="O54" s="704">
        <f>M54+($C$4-J54)</f>
        <v>1192.5</v>
      </c>
      <c r="P54" s="690" t="s">
        <v>885</v>
      </c>
      <c r="Q54" s="704">
        <f>(F54-O54)+$C$4</f>
        <v>20000</v>
      </c>
      <c r="R54" s="690" t="s">
        <v>885</v>
      </c>
      <c r="S54" s="704">
        <f>Q54-$C$4</f>
        <v>18807.5</v>
      </c>
      <c r="T54" s="690" t="s">
        <v>885</v>
      </c>
      <c r="U54" s="309" t="str">
        <f>IF(S:S&lt;=50,"ALERTA","")</f>
        <v/>
      </c>
    </row>
    <row r="55" spans="1:22" ht="30.2" customHeight="1" x14ac:dyDescent="0.2">
      <c r="A55" s="684"/>
      <c r="B55" s="683" t="s">
        <v>172</v>
      </c>
      <c r="C55" s="683" t="s">
        <v>1053</v>
      </c>
      <c r="D55" s="699" t="s">
        <v>1054</v>
      </c>
      <c r="E55" s="689" t="s">
        <v>1022</v>
      </c>
      <c r="F55" s="701" t="s">
        <v>166</v>
      </c>
      <c r="G55" s="690"/>
      <c r="H55" s="702" t="s">
        <v>166</v>
      </c>
      <c r="I55" s="703">
        <v>39289</v>
      </c>
      <c r="J55" s="704">
        <v>0</v>
      </c>
      <c r="K55" s="690" t="s">
        <v>885</v>
      </c>
      <c r="L55" s="705"/>
      <c r="M55" s="698">
        <v>0</v>
      </c>
      <c r="N55" s="690" t="s">
        <v>885</v>
      </c>
      <c r="O55" s="704">
        <f t="shared" ref="O55:O81" si="9">M55+($C$4-J55)</f>
        <v>1192.5</v>
      </c>
      <c r="P55" s="690"/>
      <c r="Q55" s="704" t="s">
        <v>4</v>
      </c>
      <c r="R55" s="690"/>
      <c r="S55" s="704" t="s">
        <v>4</v>
      </c>
      <c r="T55" s="690"/>
      <c r="U55" s="309" t="str">
        <f>IF(S:S&lt;=50,"ALERTA","")</f>
        <v/>
      </c>
    </row>
    <row r="56" spans="1:22" ht="30.2" customHeight="1" x14ac:dyDescent="0.2">
      <c r="A56" s="684"/>
      <c r="B56" s="683" t="s">
        <v>290</v>
      </c>
      <c r="C56" s="683" t="s">
        <v>1055</v>
      </c>
      <c r="D56" s="699" t="s">
        <v>1047</v>
      </c>
      <c r="E56" s="689" t="s">
        <v>1020</v>
      </c>
      <c r="F56" s="701">
        <v>12000</v>
      </c>
      <c r="G56" s="690" t="s">
        <v>885</v>
      </c>
      <c r="H56" s="702" t="s">
        <v>1021</v>
      </c>
      <c r="I56" s="703">
        <v>39289</v>
      </c>
      <c r="J56" s="704">
        <v>0</v>
      </c>
      <c r="K56" s="690" t="s">
        <v>885</v>
      </c>
      <c r="L56" s="705"/>
      <c r="M56" s="698">
        <v>0</v>
      </c>
      <c r="N56" s="690" t="s">
        <v>885</v>
      </c>
      <c r="O56" s="704">
        <f t="shared" si="9"/>
        <v>1192.5</v>
      </c>
      <c r="P56" s="690" t="s">
        <v>885</v>
      </c>
      <c r="Q56" s="704">
        <f t="shared" ref="Q56:Q61" si="10">(F56-O56)+$C$4</f>
        <v>12000</v>
      </c>
      <c r="R56" s="690" t="s">
        <v>885</v>
      </c>
      <c r="S56" s="704">
        <f t="shared" ref="S56:S61" si="11">Q56-$C$4</f>
        <v>10807.5</v>
      </c>
      <c r="T56" s="690" t="s">
        <v>885</v>
      </c>
    </row>
    <row r="57" spans="1:22" ht="30.2" customHeight="1" x14ac:dyDescent="0.2">
      <c r="A57" s="684"/>
      <c r="B57" s="683" t="s">
        <v>290</v>
      </c>
      <c r="C57" s="683" t="s">
        <v>1055</v>
      </c>
      <c r="D57" s="699" t="s">
        <v>1048</v>
      </c>
      <c r="E57" s="689" t="s">
        <v>1020</v>
      </c>
      <c r="F57" s="701">
        <v>12000</v>
      </c>
      <c r="G57" s="690" t="s">
        <v>885</v>
      </c>
      <c r="H57" s="702" t="s">
        <v>1021</v>
      </c>
      <c r="I57" s="703">
        <v>39289</v>
      </c>
      <c r="J57" s="704">
        <v>0</v>
      </c>
      <c r="K57" s="690" t="s">
        <v>885</v>
      </c>
      <c r="L57" s="705"/>
      <c r="M57" s="698">
        <v>0</v>
      </c>
      <c r="N57" s="690" t="s">
        <v>885</v>
      </c>
      <c r="O57" s="704">
        <f t="shared" si="9"/>
        <v>1192.5</v>
      </c>
      <c r="P57" s="690" t="s">
        <v>885</v>
      </c>
      <c r="Q57" s="704">
        <f t="shared" si="10"/>
        <v>12000</v>
      </c>
      <c r="R57" s="690" t="s">
        <v>885</v>
      </c>
      <c r="S57" s="704">
        <f t="shared" si="11"/>
        <v>10807.5</v>
      </c>
      <c r="T57" s="690" t="s">
        <v>885</v>
      </c>
    </row>
    <row r="58" spans="1:22" ht="30.2" customHeight="1" x14ac:dyDescent="0.2">
      <c r="A58" s="684"/>
      <c r="B58" s="683" t="s">
        <v>290</v>
      </c>
      <c r="C58" s="683" t="s">
        <v>1055</v>
      </c>
      <c r="D58" s="699" t="s">
        <v>1049</v>
      </c>
      <c r="E58" s="689" t="s">
        <v>1020</v>
      </c>
      <c r="F58" s="701">
        <v>12000</v>
      </c>
      <c r="G58" s="690" t="s">
        <v>885</v>
      </c>
      <c r="H58" s="702" t="s">
        <v>1021</v>
      </c>
      <c r="I58" s="703">
        <v>39289</v>
      </c>
      <c r="J58" s="704">
        <v>0</v>
      </c>
      <c r="K58" s="690" t="s">
        <v>885</v>
      </c>
      <c r="L58" s="705"/>
      <c r="M58" s="698">
        <v>0</v>
      </c>
      <c r="N58" s="690" t="s">
        <v>885</v>
      </c>
      <c r="O58" s="704">
        <f t="shared" si="9"/>
        <v>1192.5</v>
      </c>
      <c r="P58" s="690" t="s">
        <v>885</v>
      </c>
      <c r="Q58" s="704">
        <f t="shared" si="10"/>
        <v>12000</v>
      </c>
      <c r="R58" s="690" t="s">
        <v>885</v>
      </c>
      <c r="S58" s="704">
        <f t="shared" si="11"/>
        <v>10807.5</v>
      </c>
      <c r="T58" s="690" t="s">
        <v>885</v>
      </c>
    </row>
    <row r="59" spans="1:22" ht="30.2" customHeight="1" x14ac:dyDescent="0.2">
      <c r="A59" s="684"/>
      <c r="B59" s="683" t="s">
        <v>290</v>
      </c>
      <c r="C59" s="683" t="s">
        <v>1055</v>
      </c>
      <c r="D59" s="699" t="s">
        <v>1050</v>
      </c>
      <c r="E59" s="689" t="s">
        <v>1020</v>
      </c>
      <c r="F59" s="701">
        <v>12000</v>
      </c>
      <c r="G59" s="690" t="s">
        <v>885</v>
      </c>
      <c r="H59" s="702" t="s">
        <v>1021</v>
      </c>
      <c r="I59" s="703">
        <v>39289</v>
      </c>
      <c r="J59" s="704">
        <v>0</v>
      </c>
      <c r="K59" s="690" t="s">
        <v>885</v>
      </c>
      <c r="L59" s="705"/>
      <c r="M59" s="698">
        <v>0</v>
      </c>
      <c r="N59" s="690" t="s">
        <v>885</v>
      </c>
      <c r="O59" s="704">
        <f t="shared" si="9"/>
        <v>1192.5</v>
      </c>
      <c r="P59" s="690" t="s">
        <v>885</v>
      </c>
      <c r="Q59" s="704">
        <f t="shared" si="10"/>
        <v>12000</v>
      </c>
      <c r="R59" s="690" t="s">
        <v>885</v>
      </c>
      <c r="S59" s="704">
        <f t="shared" si="11"/>
        <v>10807.5</v>
      </c>
      <c r="T59" s="690" t="s">
        <v>885</v>
      </c>
    </row>
    <row r="60" spans="1:22" ht="30.2" customHeight="1" x14ac:dyDescent="0.2">
      <c r="A60" s="684"/>
      <c r="B60" s="683" t="s">
        <v>290</v>
      </c>
      <c r="C60" s="683" t="s">
        <v>1055</v>
      </c>
      <c r="D60" s="699" t="s">
        <v>1051</v>
      </c>
      <c r="E60" s="689" t="s">
        <v>1020</v>
      </c>
      <c r="F60" s="701">
        <v>12000</v>
      </c>
      <c r="G60" s="690" t="s">
        <v>885</v>
      </c>
      <c r="H60" s="702" t="s">
        <v>1021</v>
      </c>
      <c r="I60" s="703">
        <v>39289</v>
      </c>
      <c r="J60" s="704">
        <v>0</v>
      </c>
      <c r="K60" s="690" t="s">
        <v>885</v>
      </c>
      <c r="L60" s="705"/>
      <c r="M60" s="698">
        <v>0</v>
      </c>
      <c r="N60" s="690" t="s">
        <v>885</v>
      </c>
      <c r="O60" s="704">
        <f t="shared" si="9"/>
        <v>1192.5</v>
      </c>
      <c r="P60" s="690" t="s">
        <v>885</v>
      </c>
      <c r="Q60" s="704">
        <f t="shared" si="10"/>
        <v>12000</v>
      </c>
      <c r="R60" s="690" t="s">
        <v>885</v>
      </c>
      <c r="S60" s="704">
        <f t="shared" si="11"/>
        <v>10807.5</v>
      </c>
      <c r="T60" s="690" t="s">
        <v>885</v>
      </c>
    </row>
    <row r="61" spans="1:22" ht="30.2" customHeight="1" x14ac:dyDescent="0.2">
      <c r="A61" s="684"/>
      <c r="B61" s="683" t="s">
        <v>290</v>
      </c>
      <c r="C61" s="683" t="s">
        <v>1055</v>
      </c>
      <c r="D61" s="699" t="s">
        <v>1052</v>
      </c>
      <c r="E61" s="689" t="s">
        <v>1020</v>
      </c>
      <c r="F61" s="701">
        <v>12000</v>
      </c>
      <c r="G61" s="690" t="s">
        <v>885</v>
      </c>
      <c r="H61" s="702" t="s">
        <v>1021</v>
      </c>
      <c r="I61" s="703">
        <v>39289</v>
      </c>
      <c r="J61" s="704">
        <v>0</v>
      </c>
      <c r="K61" s="690" t="s">
        <v>885</v>
      </c>
      <c r="L61" s="705"/>
      <c r="M61" s="698">
        <v>0</v>
      </c>
      <c r="N61" s="690" t="s">
        <v>885</v>
      </c>
      <c r="O61" s="704">
        <f t="shared" si="9"/>
        <v>1192.5</v>
      </c>
      <c r="P61" s="690" t="s">
        <v>885</v>
      </c>
      <c r="Q61" s="704">
        <f t="shared" si="10"/>
        <v>12000</v>
      </c>
      <c r="R61" s="690" t="s">
        <v>885</v>
      </c>
      <c r="S61" s="704">
        <f t="shared" si="11"/>
        <v>10807.5</v>
      </c>
      <c r="T61" s="690" t="s">
        <v>885</v>
      </c>
    </row>
    <row r="62" spans="1:22" ht="30.2" customHeight="1" x14ac:dyDescent="0.2">
      <c r="A62" s="684"/>
      <c r="B62" s="683" t="s">
        <v>186</v>
      </c>
      <c r="C62" s="683" t="s">
        <v>15</v>
      </c>
      <c r="D62" s="699" t="s">
        <v>1056</v>
      </c>
      <c r="E62" s="689" t="s">
        <v>1022</v>
      </c>
      <c r="F62" s="701">
        <v>20000</v>
      </c>
      <c r="G62" s="690" t="s">
        <v>885</v>
      </c>
      <c r="H62" s="702" t="s">
        <v>1021</v>
      </c>
      <c r="I62" s="703">
        <v>39289</v>
      </c>
      <c r="J62" s="704">
        <v>0</v>
      </c>
      <c r="K62" s="690" t="s">
        <v>885</v>
      </c>
      <c r="L62" s="705"/>
      <c r="M62" s="698">
        <v>0</v>
      </c>
      <c r="N62" s="690" t="s">
        <v>885</v>
      </c>
      <c r="O62" s="704">
        <f t="shared" si="9"/>
        <v>1192.5</v>
      </c>
      <c r="P62" s="690" t="s">
        <v>885</v>
      </c>
      <c r="Q62" s="704">
        <f t="shared" ref="Q62:Q81" si="12">(F62-O62)+$C$4</f>
        <v>20000</v>
      </c>
      <c r="R62" s="690" t="s">
        <v>885</v>
      </c>
      <c r="S62" s="704">
        <f t="shared" ref="S62:S81" si="13">Q62-$C$4</f>
        <v>18807.5</v>
      </c>
      <c r="T62" s="690" t="s">
        <v>885</v>
      </c>
      <c r="U62" s="309" t="str">
        <f>IF(S:S&lt;=50,"ALERTA","")</f>
        <v/>
      </c>
    </row>
    <row r="63" spans="1:22" ht="30.2" customHeight="1" x14ac:dyDescent="0.2">
      <c r="A63" s="684"/>
      <c r="B63" s="683" t="s">
        <v>186</v>
      </c>
      <c r="C63" s="683" t="s">
        <v>15</v>
      </c>
      <c r="D63" s="699" t="s">
        <v>1057</v>
      </c>
      <c r="E63" s="689" t="s">
        <v>1022</v>
      </c>
      <c r="F63" s="701">
        <v>20000</v>
      </c>
      <c r="G63" s="690" t="s">
        <v>885</v>
      </c>
      <c r="H63" s="702" t="s">
        <v>1021</v>
      </c>
      <c r="I63" s="703">
        <v>39289</v>
      </c>
      <c r="J63" s="704">
        <v>0</v>
      </c>
      <c r="K63" s="690" t="s">
        <v>885</v>
      </c>
      <c r="L63" s="705"/>
      <c r="M63" s="698">
        <v>0</v>
      </c>
      <c r="N63" s="690" t="s">
        <v>885</v>
      </c>
      <c r="O63" s="704">
        <f t="shared" si="9"/>
        <v>1192.5</v>
      </c>
      <c r="P63" s="690" t="s">
        <v>885</v>
      </c>
      <c r="Q63" s="704">
        <f t="shared" si="12"/>
        <v>20000</v>
      </c>
      <c r="R63" s="690" t="s">
        <v>885</v>
      </c>
      <c r="S63" s="704">
        <f t="shared" si="13"/>
        <v>18807.5</v>
      </c>
      <c r="T63" s="690" t="s">
        <v>885</v>
      </c>
      <c r="U63" s="309" t="str">
        <f>IF(S:S&lt;=50,"ALERTA","")</f>
        <v/>
      </c>
    </row>
    <row r="64" spans="1:22" ht="30.2" customHeight="1" x14ac:dyDescent="0.2">
      <c r="A64" s="684"/>
      <c r="B64" s="683" t="s">
        <v>186</v>
      </c>
      <c r="C64" s="683" t="s">
        <v>15</v>
      </c>
      <c r="D64" s="699" t="s">
        <v>1058</v>
      </c>
      <c r="E64" s="689" t="s">
        <v>1022</v>
      </c>
      <c r="F64" s="701">
        <v>20000</v>
      </c>
      <c r="G64" s="690" t="s">
        <v>885</v>
      </c>
      <c r="H64" s="702" t="s">
        <v>1021</v>
      </c>
      <c r="I64" s="703">
        <v>39289</v>
      </c>
      <c r="J64" s="704">
        <v>0</v>
      </c>
      <c r="K64" s="690" t="s">
        <v>885</v>
      </c>
      <c r="L64" s="705"/>
      <c r="M64" s="698">
        <v>0</v>
      </c>
      <c r="N64" s="690" t="s">
        <v>885</v>
      </c>
      <c r="O64" s="704">
        <f t="shared" si="9"/>
        <v>1192.5</v>
      </c>
      <c r="P64" s="690" t="s">
        <v>885</v>
      </c>
      <c r="Q64" s="704">
        <f t="shared" si="12"/>
        <v>20000</v>
      </c>
      <c r="R64" s="690" t="s">
        <v>885</v>
      </c>
      <c r="S64" s="704">
        <f t="shared" si="13"/>
        <v>18807.5</v>
      </c>
      <c r="T64" s="690" t="s">
        <v>885</v>
      </c>
      <c r="U64" s="309" t="str">
        <f>IF(S:S&lt;=50,"ALERTA","")</f>
        <v/>
      </c>
    </row>
    <row r="65" spans="1:21" s="1280" customFormat="1" ht="30.2" customHeight="1" x14ac:dyDescent="0.2">
      <c r="A65" s="1307"/>
      <c r="B65" s="683" t="s">
        <v>1434</v>
      </c>
      <c r="C65" s="683" t="s">
        <v>1435</v>
      </c>
      <c r="D65" s="699" t="s">
        <v>1430</v>
      </c>
      <c r="E65" s="689" t="s">
        <v>1022</v>
      </c>
      <c r="F65" s="701" t="s">
        <v>166</v>
      </c>
      <c r="G65" s="690"/>
      <c r="H65" s="702" t="s">
        <v>166</v>
      </c>
      <c r="I65" s="703">
        <v>39289</v>
      </c>
      <c r="J65" s="704">
        <v>0</v>
      </c>
      <c r="K65" s="690" t="s">
        <v>885</v>
      </c>
      <c r="L65" s="705"/>
      <c r="M65" s="698">
        <v>0</v>
      </c>
      <c r="N65" s="690" t="s">
        <v>885</v>
      </c>
      <c r="O65" s="704">
        <f t="shared" ref="O65" si="14">M65+($C$4-J65)</f>
        <v>1192.5</v>
      </c>
      <c r="P65" s="690" t="s">
        <v>885</v>
      </c>
      <c r="Q65" s="704" t="s">
        <v>4</v>
      </c>
      <c r="R65" s="690"/>
      <c r="S65" s="704" t="s">
        <v>4</v>
      </c>
      <c r="T65" s="1276"/>
    </row>
    <row r="66" spans="1:21" ht="30.2" customHeight="1" x14ac:dyDescent="0.2">
      <c r="A66" s="684"/>
      <c r="B66" s="683" t="s">
        <v>188</v>
      </c>
      <c r="C66" s="683" t="s">
        <v>189</v>
      </c>
      <c r="D66" s="699">
        <v>9537</v>
      </c>
      <c r="E66" s="689" t="s">
        <v>1022</v>
      </c>
      <c r="F66" s="701">
        <v>6400</v>
      </c>
      <c r="G66" s="690" t="s">
        <v>885</v>
      </c>
      <c r="H66" s="702" t="s">
        <v>1021</v>
      </c>
      <c r="I66" s="703">
        <v>39289</v>
      </c>
      <c r="J66" s="704">
        <v>0</v>
      </c>
      <c r="K66" s="690" t="s">
        <v>885</v>
      </c>
      <c r="L66" s="705"/>
      <c r="M66" s="698">
        <v>0</v>
      </c>
      <c r="N66" s="690" t="s">
        <v>885</v>
      </c>
      <c r="O66" s="704">
        <f t="shared" si="9"/>
        <v>1192.5</v>
      </c>
      <c r="P66" s="690" t="s">
        <v>885</v>
      </c>
      <c r="Q66" s="704">
        <f t="shared" si="12"/>
        <v>6400</v>
      </c>
      <c r="R66" s="690" t="s">
        <v>885</v>
      </c>
      <c r="S66" s="704">
        <f t="shared" si="13"/>
        <v>5207.5</v>
      </c>
      <c r="T66" s="690" t="s">
        <v>885</v>
      </c>
      <c r="U66" s="309" t="str">
        <f>IF(S:S&lt;=50,"ALERTA","")</f>
        <v/>
      </c>
    </row>
    <row r="67" spans="1:21" ht="30.2" customHeight="1" x14ac:dyDescent="0.2">
      <c r="A67" s="684"/>
      <c r="B67" s="683" t="s">
        <v>188</v>
      </c>
      <c r="C67" s="683" t="s">
        <v>189</v>
      </c>
      <c r="D67" s="699">
        <v>9538</v>
      </c>
      <c r="E67" s="689" t="s">
        <v>1022</v>
      </c>
      <c r="F67" s="701">
        <v>6400</v>
      </c>
      <c r="G67" s="690" t="s">
        <v>885</v>
      </c>
      <c r="H67" s="702" t="s">
        <v>1021</v>
      </c>
      <c r="I67" s="703">
        <v>39289</v>
      </c>
      <c r="J67" s="704">
        <v>0</v>
      </c>
      <c r="K67" s="690" t="s">
        <v>885</v>
      </c>
      <c r="L67" s="705"/>
      <c r="M67" s="698">
        <v>0</v>
      </c>
      <c r="N67" s="690" t="s">
        <v>885</v>
      </c>
      <c r="O67" s="704">
        <f t="shared" si="9"/>
        <v>1192.5</v>
      </c>
      <c r="P67" s="690" t="s">
        <v>885</v>
      </c>
      <c r="Q67" s="704">
        <f t="shared" si="12"/>
        <v>6400</v>
      </c>
      <c r="R67" s="690" t="s">
        <v>885</v>
      </c>
      <c r="S67" s="704">
        <f t="shared" si="13"/>
        <v>5207.5</v>
      </c>
      <c r="T67" s="690" t="s">
        <v>885</v>
      </c>
      <c r="U67" s="309" t="str">
        <f>IF(S:S&lt;=50,"ALERTA","")</f>
        <v/>
      </c>
    </row>
    <row r="68" spans="1:21" ht="30.2" customHeight="1" x14ac:dyDescent="0.2">
      <c r="A68" s="684"/>
      <c r="B68" s="683" t="s">
        <v>188</v>
      </c>
      <c r="C68" s="683" t="s">
        <v>189</v>
      </c>
      <c r="D68" s="699">
        <v>9539</v>
      </c>
      <c r="E68" s="689" t="s">
        <v>1022</v>
      </c>
      <c r="F68" s="701">
        <v>6400</v>
      </c>
      <c r="G68" s="690" t="s">
        <v>885</v>
      </c>
      <c r="H68" s="702" t="s">
        <v>1021</v>
      </c>
      <c r="I68" s="703">
        <v>39289</v>
      </c>
      <c r="J68" s="704">
        <v>0</v>
      </c>
      <c r="K68" s="690" t="s">
        <v>885</v>
      </c>
      <c r="L68" s="705"/>
      <c r="M68" s="698">
        <v>0</v>
      </c>
      <c r="N68" s="690" t="s">
        <v>885</v>
      </c>
      <c r="O68" s="704">
        <f t="shared" si="9"/>
        <v>1192.5</v>
      </c>
      <c r="P68" s="690" t="s">
        <v>885</v>
      </c>
      <c r="Q68" s="704">
        <f t="shared" si="12"/>
        <v>6400</v>
      </c>
      <c r="R68" s="690" t="s">
        <v>885</v>
      </c>
      <c r="S68" s="704">
        <f t="shared" si="13"/>
        <v>5207.5</v>
      </c>
      <c r="T68" s="690" t="s">
        <v>885</v>
      </c>
      <c r="U68" s="309" t="str">
        <f>IF(S:S&lt;=50,"ALERTA","")</f>
        <v/>
      </c>
    </row>
    <row r="69" spans="1:21" ht="30.2" customHeight="1" x14ac:dyDescent="0.2">
      <c r="A69" s="684"/>
      <c r="B69" s="683" t="s">
        <v>1023</v>
      </c>
      <c r="C69" s="683" t="s">
        <v>16</v>
      </c>
      <c r="D69" s="699">
        <v>31210</v>
      </c>
      <c r="E69" s="689" t="s">
        <v>1022</v>
      </c>
      <c r="F69" s="701">
        <v>3000</v>
      </c>
      <c r="G69" s="690" t="s">
        <v>885</v>
      </c>
      <c r="H69" s="702" t="s">
        <v>1021</v>
      </c>
      <c r="I69" s="703">
        <v>39289</v>
      </c>
      <c r="J69" s="704">
        <v>0</v>
      </c>
      <c r="K69" s="690" t="s">
        <v>885</v>
      </c>
      <c r="L69" s="705"/>
      <c r="M69" s="698">
        <v>0</v>
      </c>
      <c r="N69" s="690" t="s">
        <v>885</v>
      </c>
      <c r="O69" s="704">
        <f t="shared" ref="O69:O74" si="15">M69+($C$4-J69)</f>
        <v>1192.5</v>
      </c>
      <c r="P69" s="690" t="s">
        <v>885</v>
      </c>
      <c r="Q69" s="704">
        <f t="shared" ref="Q69:Q74" si="16">(F69-O69)+$C$4</f>
        <v>3000</v>
      </c>
      <c r="R69" s="690" t="s">
        <v>885</v>
      </c>
      <c r="S69" s="704">
        <f t="shared" ref="S69:S74" si="17">Q69-$C$4</f>
        <v>1807.5</v>
      </c>
      <c r="T69" s="690" t="s">
        <v>885</v>
      </c>
    </row>
    <row r="70" spans="1:21" ht="30.2" customHeight="1" x14ac:dyDescent="0.2">
      <c r="A70" s="684"/>
      <c r="B70" s="683" t="s">
        <v>1023</v>
      </c>
      <c r="C70" s="683" t="s">
        <v>16</v>
      </c>
      <c r="D70" s="699">
        <v>31222</v>
      </c>
      <c r="E70" s="689" t="s">
        <v>1022</v>
      </c>
      <c r="F70" s="701">
        <v>3000</v>
      </c>
      <c r="G70" s="690" t="s">
        <v>885</v>
      </c>
      <c r="H70" s="702" t="s">
        <v>1021</v>
      </c>
      <c r="I70" s="703">
        <v>39289</v>
      </c>
      <c r="J70" s="704">
        <v>0</v>
      </c>
      <c r="K70" s="690" t="s">
        <v>885</v>
      </c>
      <c r="L70" s="705"/>
      <c r="M70" s="698">
        <v>0</v>
      </c>
      <c r="N70" s="690" t="s">
        <v>885</v>
      </c>
      <c r="O70" s="704">
        <f t="shared" si="15"/>
        <v>1192.5</v>
      </c>
      <c r="P70" s="690" t="s">
        <v>885</v>
      </c>
      <c r="Q70" s="704">
        <f t="shared" si="16"/>
        <v>3000</v>
      </c>
      <c r="R70" s="690" t="s">
        <v>885</v>
      </c>
      <c r="S70" s="704">
        <f t="shared" si="17"/>
        <v>1807.5</v>
      </c>
      <c r="T70" s="690" t="s">
        <v>885</v>
      </c>
    </row>
    <row r="71" spans="1:21" ht="30.2" customHeight="1" x14ac:dyDescent="0.2">
      <c r="A71" s="684"/>
      <c r="B71" s="683" t="s">
        <v>1023</v>
      </c>
      <c r="C71" s="683" t="s">
        <v>16</v>
      </c>
      <c r="D71" s="699">
        <v>31240</v>
      </c>
      <c r="E71" s="689" t="s">
        <v>1022</v>
      </c>
      <c r="F71" s="701">
        <v>3000</v>
      </c>
      <c r="G71" s="690" t="s">
        <v>885</v>
      </c>
      <c r="H71" s="702" t="s">
        <v>1021</v>
      </c>
      <c r="I71" s="703">
        <v>39289</v>
      </c>
      <c r="J71" s="704">
        <v>0</v>
      </c>
      <c r="K71" s="690" t="s">
        <v>885</v>
      </c>
      <c r="L71" s="705"/>
      <c r="M71" s="698">
        <v>0</v>
      </c>
      <c r="N71" s="690" t="s">
        <v>885</v>
      </c>
      <c r="O71" s="704">
        <f t="shared" si="15"/>
        <v>1192.5</v>
      </c>
      <c r="P71" s="690" t="s">
        <v>885</v>
      </c>
      <c r="Q71" s="704">
        <f t="shared" si="16"/>
        <v>3000</v>
      </c>
      <c r="R71" s="690" t="s">
        <v>885</v>
      </c>
      <c r="S71" s="704">
        <f t="shared" si="17"/>
        <v>1807.5</v>
      </c>
      <c r="T71" s="690" t="s">
        <v>885</v>
      </c>
    </row>
    <row r="72" spans="1:21" ht="30.2" customHeight="1" x14ac:dyDescent="0.2">
      <c r="A72" s="684"/>
      <c r="B72" s="683" t="s">
        <v>1023</v>
      </c>
      <c r="C72" s="683" t="s">
        <v>16</v>
      </c>
      <c r="D72" s="699">
        <v>31244</v>
      </c>
      <c r="E72" s="689" t="s">
        <v>1022</v>
      </c>
      <c r="F72" s="701">
        <v>3000</v>
      </c>
      <c r="G72" s="690" t="s">
        <v>885</v>
      </c>
      <c r="H72" s="702" t="s">
        <v>1021</v>
      </c>
      <c r="I72" s="703">
        <v>39289</v>
      </c>
      <c r="J72" s="704">
        <v>0</v>
      </c>
      <c r="K72" s="690" t="s">
        <v>885</v>
      </c>
      <c r="L72" s="705"/>
      <c r="M72" s="698">
        <v>0</v>
      </c>
      <c r="N72" s="690" t="s">
        <v>885</v>
      </c>
      <c r="O72" s="704">
        <f t="shared" si="15"/>
        <v>1192.5</v>
      </c>
      <c r="P72" s="690" t="s">
        <v>885</v>
      </c>
      <c r="Q72" s="704">
        <f t="shared" si="16"/>
        <v>3000</v>
      </c>
      <c r="R72" s="690" t="s">
        <v>885</v>
      </c>
      <c r="S72" s="704">
        <f t="shared" si="17"/>
        <v>1807.5</v>
      </c>
      <c r="T72" s="690" t="s">
        <v>885</v>
      </c>
    </row>
    <row r="73" spans="1:21" ht="30.2" customHeight="1" x14ac:dyDescent="0.2">
      <c r="A73" s="684"/>
      <c r="B73" s="683" t="s">
        <v>1023</v>
      </c>
      <c r="C73" s="683" t="s">
        <v>16</v>
      </c>
      <c r="D73" s="699">
        <v>31246</v>
      </c>
      <c r="E73" s="689" t="s">
        <v>1022</v>
      </c>
      <c r="F73" s="701">
        <v>3000</v>
      </c>
      <c r="G73" s="690" t="s">
        <v>885</v>
      </c>
      <c r="H73" s="702" t="s">
        <v>1021</v>
      </c>
      <c r="I73" s="703">
        <v>39289</v>
      </c>
      <c r="J73" s="704">
        <v>0</v>
      </c>
      <c r="K73" s="690" t="s">
        <v>885</v>
      </c>
      <c r="L73" s="705"/>
      <c r="M73" s="698">
        <v>0</v>
      </c>
      <c r="N73" s="690" t="s">
        <v>885</v>
      </c>
      <c r="O73" s="704">
        <f t="shared" si="15"/>
        <v>1192.5</v>
      </c>
      <c r="P73" s="690" t="s">
        <v>885</v>
      </c>
      <c r="Q73" s="704">
        <f t="shared" si="16"/>
        <v>3000</v>
      </c>
      <c r="R73" s="690" t="s">
        <v>885</v>
      </c>
      <c r="S73" s="704">
        <f t="shared" si="17"/>
        <v>1807.5</v>
      </c>
      <c r="T73" s="690" t="s">
        <v>885</v>
      </c>
    </row>
    <row r="74" spans="1:21" ht="30.2" customHeight="1" x14ac:dyDescent="0.2">
      <c r="A74" s="684"/>
      <c r="B74" s="683" t="s">
        <v>1023</v>
      </c>
      <c r="C74" s="683" t="s">
        <v>16</v>
      </c>
      <c r="D74" s="699">
        <v>31247</v>
      </c>
      <c r="E74" s="689" t="s">
        <v>1022</v>
      </c>
      <c r="F74" s="701">
        <v>3000</v>
      </c>
      <c r="G74" s="690" t="s">
        <v>885</v>
      </c>
      <c r="H74" s="702" t="s">
        <v>1021</v>
      </c>
      <c r="I74" s="703">
        <v>39289</v>
      </c>
      <c r="J74" s="704">
        <v>0</v>
      </c>
      <c r="K74" s="690" t="s">
        <v>885</v>
      </c>
      <c r="L74" s="705"/>
      <c r="M74" s="698">
        <v>0</v>
      </c>
      <c r="N74" s="690" t="s">
        <v>885</v>
      </c>
      <c r="O74" s="704">
        <f t="shared" si="15"/>
        <v>1192.5</v>
      </c>
      <c r="P74" s="690" t="s">
        <v>885</v>
      </c>
      <c r="Q74" s="704">
        <f t="shared" si="16"/>
        <v>3000</v>
      </c>
      <c r="R74" s="690" t="s">
        <v>885</v>
      </c>
      <c r="S74" s="704">
        <f t="shared" si="17"/>
        <v>1807.5</v>
      </c>
      <c r="T74" s="690" t="s">
        <v>885</v>
      </c>
    </row>
    <row r="75" spans="1:21" ht="30.2" customHeight="1" x14ac:dyDescent="0.2">
      <c r="A75" s="684"/>
      <c r="B75" s="683" t="s">
        <v>187</v>
      </c>
      <c r="C75" s="683" t="s">
        <v>291</v>
      </c>
      <c r="D75" s="699" t="s">
        <v>1065</v>
      </c>
      <c r="E75" s="689" t="s">
        <v>1022</v>
      </c>
      <c r="F75" s="701">
        <v>2400</v>
      </c>
      <c r="G75" s="690" t="s">
        <v>885</v>
      </c>
      <c r="H75" s="702" t="s">
        <v>1021</v>
      </c>
      <c r="I75" s="703">
        <v>39289</v>
      </c>
      <c r="J75" s="704">
        <v>0</v>
      </c>
      <c r="K75" s="690" t="s">
        <v>885</v>
      </c>
      <c r="L75" s="705"/>
      <c r="M75" s="698">
        <v>0</v>
      </c>
      <c r="N75" s="690" t="s">
        <v>885</v>
      </c>
      <c r="O75" s="704">
        <f t="shared" si="9"/>
        <v>1192.5</v>
      </c>
      <c r="P75" s="690" t="s">
        <v>885</v>
      </c>
      <c r="Q75" s="704">
        <f t="shared" si="12"/>
        <v>2400</v>
      </c>
      <c r="R75" s="690" t="s">
        <v>885</v>
      </c>
      <c r="S75" s="704">
        <f t="shared" si="13"/>
        <v>1207.5</v>
      </c>
      <c r="T75" s="690" t="s">
        <v>885</v>
      </c>
      <c r="U75" s="309" t="str">
        <f t="shared" ref="U75:U82" si="18">IF(S:S&lt;=50,"ALERTA","")</f>
        <v/>
      </c>
    </row>
    <row r="76" spans="1:21" ht="30.2" customHeight="1" x14ac:dyDescent="0.2">
      <c r="A76" s="684"/>
      <c r="B76" s="683" t="s">
        <v>1024</v>
      </c>
      <c r="C76" s="683" t="s">
        <v>13</v>
      </c>
      <c r="D76" s="699" t="s">
        <v>1059</v>
      </c>
      <c r="E76" s="689" t="s">
        <v>1022</v>
      </c>
      <c r="F76" s="701">
        <v>4400</v>
      </c>
      <c r="G76" s="690" t="s">
        <v>885</v>
      </c>
      <c r="H76" s="702" t="s">
        <v>1021</v>
      </c>
      <c r="I76" s="703">
        <v>39289</v>
      </c>
      <c r="J76" s="704">
        <v>0</v>
      </c>
      <c r="K76" s="690" t="s">
        <v>885</v>
      </c>
      <c r="L76" s="705"/>
      <c r="M76" s="698">
        <v>0</v>
      </c>
      <c r="N76" s="690" t="s">
        <v>885</v>
      </c>
      <c r="O76" s="704">
        <f t="shared" si="9"/>
        <v>1192.5</v>
      </c>
      <c r="P76" s="690" t="s">
        <v>885</v>
      </c>
      <c r="Q76" s="704">
        <f t="shared" si="12"/>
        <v>4400</v>
      </c>
      <c r="R76" s="690" t="s">
        <v>885</v>
      </c>
      <c r="S76" s="704">
        <f t="shared" si="13"/>
        <v>3207.5</v>
      </c>
      <c r="T76" s="690" t="s">
        <v>885</v>
      </c>
      <c r="U76" s="309" t="str">
        <f t="shared" si="18"/>
        <v/>
      </c>
    </row>
    <row r="77" spans="1:21" ht="30.2" customHeight="1" x14ac:dyDescent="0.2">
      <c r="A77" s="684"/>
      <c r="B77" s="683" t="s">
        <v>1024</v>
      </c>
      <c r="C77" s="683" t="s">
        <v>13</v>
      </c>
      <c r="D77" s="699" t="s">
        <v>1060</v>
      </c>
      <c r="E77" s="689" t="s">
        <v>1022</v>
      </c>
      <c r="F77" s="701">
        <v>4400</v>
      </c>
      <c r="G77" s="690" t="s">
        <v>885</v>
      </c>
      <c r="H77" s="702" t="s">
        <v>1021</v>
      </c>
      <c r="I77" s="703">
        <v>39289</v>
      </c>
      <c r="J77" s="704">
        <v>0</v>
      </c>
      <c r="K77" s="690" t="s">
        <v>885</v>
      </c>
      <c r="L77" s="705"/>
      <c r="M77" s="698">
        <v>0</v>
      </c>
      <c r="N77" s="690" t="s">
        <v>885</v>
      </c>
      <c r="O77" s="704">
        <f t="shared" si="9"/>
        <v>1192.5</v>
      </c>
      <c r="P77" s="690" t="s">
        <v>885</v>
      </c>
      <c r="Q77" s="704">
        <f t="shared" si="12"/>
        <v>4400</v>
      </c>
      <c r="R77" s="690" t="s">
        <v>885</v>
      </c>
      <c r="S77" s="704">
        <f t="shared" si="13"/>
        <v>3207.5</v>
      </c>
      <c r="T77" s="690" t="s">
        <v>885</v>
      </c>
      <c r="U77" s="309" t="str">
        <f t="shared" si="18"/>
        <v/>
      </c>
    </row>
    <row r="78" spans="1:21" ht="30.2" customHeight="1" x14ac:dyDescent="0.2">
      <c r="A78" s="684"/>
      <c r="B78" s="683" t="s">
        <v>1024</v>
      </c>
      <c r="C78" s="683" t="s">
        <v>13</v>
      </c>
      <c r="D78" s="699" t="s">
        <v>1061</v>
      </c>
      <c r="E78" s="689" t="s">
        <v>1022</v>
      </c>
      <c r="F78" s="701">
        <v>4400</v>
      </c>
      <c r="G78" s="690" t="s">
        <v>885</v>
      </c>
      <c r="H78" s="702" t="s">
        <v>1021</v>
      </c>
      <c r="I78" s="703">
        <v>39289</v>
      </c>
      <c r="J78" s="704">
        <v>0</v>
      </c>
      <c r="K78" s="690" t="s">
        <v>885</v>
      </c>
      <c r="L78" s="705"/>
      <c r="M78" s="698">
        <v>0</v>
      </c>
      <c r="N78" s="690" t="s">
        <v>885</v>
      </c>
      <c r="O78" s="704">
        <f t="shared" si="9"/>
        <v>1192.5</v>
      </c>
      <c r="P78" s="690" t="s">
        <v>885</v>
      </c>
      <c r="Q78" s="704">
        <f t="shared" si="12"/>
        <v>4400</v>
      </c>
      <c r="R78" s="690" t="s">
        <v>885</v>
      </c>
      <c r="S78" s="704">
        <f t="shared" si="13"/>
        <v>3207.5</v>
      </c>
      <c r="T78" s="690" t="s">
        <v>885</v>
      </c>
      <c r="U78" s="309" t="str">
        <f t="shared" si="18"/>
        <v/>
      </c>
    </row>
    <row r="79" spans="1:21" ht="30.2" customHeight="1" x14ac:dyDescent="0.2">
      <c r="A79" s="684"/>
      <c r="B79" s="683" t="s">
        <v>1025</v>
      </c>
      <c r="C79" s="683" t="s">
        <v>14</v>
      </c>
      <c r="D79" s="699" t="s">
        <v>1062</v>
      </c>
      <c r="E79" s="689" t="s">
        <v>1022</v>
      </c>
      <c r="F79" s="701">
        <v>4400</v>
      </c>
      <c r="G79" s="690" t="s">
        <v>885</v>
      </c>
      <c r="H79" s="702" t="s">
        <v>1021</v>
      </c>
      <c r="I79" s="703">
        <v>39289</v>
      </c>
      <c r="J79" s="704">
        <v>0</v>
      </c>
      <c r="K79" s="690" t="s">
        <v>885</v>
      </c>
      <c r="L79" s="705"/>
      <c r="M79" s="698">
        <v>0</v>
      </c>
      <c r="N79" s="690" t="s">
        <v>885</v>
      </c>
      <c r="O79" s="704">
        <f t="shared" si="9"/>
        <v>1192.5</v>
      </c>
      <c r="P79" s="690" t="s">
        <v>885</v>
      </c>
      <c r="Q79" s="704">
        <f t="shared" si="12"/>
        <v>4400</v>
      </c>
      <c r="R79" s="690" t="s">
        <v>885</v>
      </c>
      <c r="S79" s="704">
        <f t="shared" si="13"/>
        <v>3207.5</v>
      </c>
      <c r="T79" s="690" t="s">
        <v>885</v>
      </c>
      <c r="U79" s="309" t="str">
        <f t="shared" si="18"/>
        <v/>
      </c>
    </row>
    <row r="80" spans="1:21" ht="30.2" customHeight="1" x14ac:dyDescent="0.2">
      <c r="A80" s="684"/>
      <c r="B80" s="683" t="s">
        <v>1025</v>
      </c>
      <c r="C80" s="683" t="s">
        <v>14</v>
      </c>
      <c r="D80" s="699" t="s">
        <v>1063</v>
      </c>
      <c r="E80" s="689" t="s">
        <v>1022</v>
      </c>
      <c r="F80" s="701">
        <v>4400</v>
      </c>
      <c r="G80" s="690" t="s">
        <v>885</v>
      </c>
      <c r="H80" s="702" t="s">
        <v>1021</v>
      </c>
      <c r="I80" s="703">
        <v>39289</v>
      </c>
      <c r="J80" s="704">
        <v>0</v>
      </c>
      <c r="K80" s="690" t="s">
        <v>885</v>
      </c>
      <c r="L80" s="705"/>
      <c r="M80" s="698">
        <v>0</v>
      </c>
      <c r="N80" s="690" t="s">
        <v>885</v>
      </c>
      <c r="O80" s="704">
        <f t="shared" si="9"/>
        <v>1192.5</v>
      </c>
      <c r="P80" s="690" t="s">
        <v>885</v>
      </c>
      <c r="Q80" s="704">
        <f t="shared" si="12"/>
        <v>4400</v>
      </c>
      <c r="R80" s="690" t="s">
        <v>885</v>
      </c>
      <c r="S80" s="704">
        <f t="shared" si="13"/>
        <v>3207.5</v>
      </c>
      <c r="T80" s="690" t="s">
        <v>885</v>
      </c>
      <c r="U80" s="309" t="str">
        <f t="shared" si="18"/>
        <v/>
      </c>
    </row>
    <row r="81" spans="1:21" ht="30.2" customHeight="1" x14ac:dyDescent="0.2">
      <c r="A81" s="684"/>
      <c r="B81" s="683" t="s">
        <v>1025</v>
      </c>
      <c r="C81" s="683" t="s">
        <v>14</v>
      </c>
      <c r="D81" s="699" t="s">
        <v>1064</v>
      </c>
      <c r="E81" s="689" t="s">
        <v>1022</v>
      </c>
      <c r="F81" s="701">
        <v>4400</v>
      </c>
      <c r="G81" s="690" t="s">
        <v>885</v>
      </c>
      <c r="H81" s="702" t="s">
        <v>1021</v>
      </c>
      <c r="I81" s="703">
        <v>39289</v>
      </c>
      <c r="J81" s="704">
        <v>0</v>
      </c>
      <c r="K81" s="690" t="s">
        <v>885</v>
      </c>
      <c r="L81" s="705"/>
      <c r="M81" s="698">
        <v>0</v>
      </c>
      <c r="N81" s="690" t="s">
        <v>885</v>
      </c>
      <c r="O81" s="704">
        <f t="shared" si="9"/>
        <v>1192.5</v>
      </c>
      <c r="P81" s="690" t="s">
        <v>885</v>
      </c>
      <c r="Q81" s="704">
        <f t="shared" si="12"/>
        <v>4400</v>
      </c>
      <c r="R81" s="690" t="s">
        <v>885</v>
      </c>
      <c r="S81" s="704">
        <f t="shared" si="13"/>
        <v>3207.5</v>
      </c>
      <c r="T81" s="690" t="s">
        <v>885</v>
      </c>
      <c r="U81" s="309" t="str">
        <f t="shared" si="18"/>
        <v/>
      </c>
    </row>
    <row r="82" spans="1:21" ht="30.2" customHeight="1" x14ac:dyDescent="0.2">
      <c r="A82" s="684"/>
      <c r="B82" s="683" t="s">
        <v>190</v>
      </c>
      <c r="C82" s="683" t="s">
        <v>292</v>
      </c>
      <c r="D82" s="699" t="s">
        <v>1066</v>
      </c>
      <c r="E82" s="689" t="s">
        <v>1009</v>
      </c>
      <c r="F82" s="701" t="s">
        <v>166</v>
      </c>
      <c r="G82" s="690"/>
      <c r="H82" s="702" t="s">
        <v>166</v>
      </c>
      <c r="I82" s="703">
        <v>39289</v>
      </c>
      <c r="J82" s="704">
        <v>0</v>
      </c>
      <c r="K82" s="690" t="s">
        <v>885</v>
      </c>
      <c r="L82" s="705"/>
      <c r="M82" s="698">
        <v>0</v>
      </c>
      <c r="N82" s="690" t="s">
        <v>885</v>
      </c>
      <c r="O82" s="704">
        <f>M82+(C4-J82)</f>
        <v>1192.5</v>
      </c>
      <c r="P82" s="690" t="s">
        <v>885</v>
      </c>
      <c r="Q82" s="704" t="s">
        <v>4</v>
      </c>
      <c r="R82" s="690"/>
      <c r="S82" s="704" t="s">
        <v>4</v>
      </c>
      <c r="T82" s="690"/>
      <c r="U82" s="309" t="str">
        <f t="shared" si="18"/>
        <v/>
      </c>
    </row>
    <row r="83" spans="1:21" ht="30.2" customHeight="1" x14ac:dyDescent="0.2">
      <c r="A83" s="684"/>
      <c r="B83" s="727" t="s">
        <v>294</v>
      </c>
      <c r="C83" s="727" t="s">
        <v>295</v>
      </c>
      <c r="D83" s="728" t="s">
        <v>1072</v>
      </c>
      <c r="E83" s="689" t="s">
        <v>1009</v>
      </c>
      <c r="F83" s="707">
        <v>20000</v>
      </c>
      <c r="G83" s="691" t="s">
        <v>885</v>
      </c>
      <c r="H83" s="702" t="s">
        <v>1021</v>
      </c>
      <c r="I83" s="703">
        <v>39289</v>
      </c>
      <c r="J83" s="704">
        <v>0</v>
      </c>
      <c r="K83" s="691" t="s">
        <v>885</v>
      </c>
      <c r="L83" s="705"/>
      <c r="M83" s="698">
        <v>0</v>
      </c>
      <c r="N83" s="691" t="s">
        <v>885</v>
      </c>
      <c r="O83" s="704">
        <f t="shared" ref="O83:O91" si="19">M83+($C$4-J83)</f>
        <v>1192.5</v>
      </c>
      <c r="P83" s="691" t="s">
        <v>885</v>
      </c>
      <c r="Q83" s="704">
        <f t="shared" ref="Q83:Q91" si="20">(F83-O83)+$C$4</f>
        <v>20000</v>
      </c>
      <c r="R83" s="691" t="s">
        <v>885</v>
      </c>
      <c r="S83" s="704">
        <f t="shared" ref="S83:S91" si="21">Q83-$C$4</f>
        <v>18807.5</v>
      </c>
      <c r="T83" s="691" t="s">
        <v>885</v>
      </c>
    </row>
    <row r="84" spans="1:21" ht="30.2" customHeight="1" x14ac:dyDescent="0.2">
      <c r="A84" s="684"/>
      <c r="B84" s="683" t="s">
        <v>294</v>
      </c>
      <c r="C84" s="683" t="s">
        <v>295</v>
      </c>
      <c r="D84" s="699" t="s">
        <v>1073</v>
      </c>
      <c r="E84" s="689" t="s">
        <v>1009</v>
      </c>
      <c r="F84" s="701">
        <v>20000</v>
      </c>
      <c r="G84" s="690" t="s">
        <v>885</v>
      </c>
      <c r="H84" s="702" t="s">
        <v>1021</v>
      </c>
      <c r="I84" s="703">
        <v>39289</v>
      </c>
      <c r="J84" s="704">
        <v>0</v>
      </c>
      <c r="K84" s="690" t="s">
        <v>885</v>
      </c>
      <c r="L84" s="705"/>
      <c r="M84" s="698">
        <v>0</v>
      </c>
      <c r="N84" s="690" t="s">
        <v>885</v>
      </c>
      <c r="O84" s="704">
        <f t="shared" si="19"/>
        <v>1192.5</v>
      </c>
      <c r="P84" s="690" t="s">
        <v>885</v>
      </c>
      <c r="Q84" s="704">
        <f t="shared" si="20"/>
        <v>20000</v>
      </c>
      <c r="R84" s="690" t="s">
        <v>885</v>
      </c>
      <c r="S84" s="704">
        <f t="shared" si="21"/>
        <v>18807.5</v>
      </c>
      <c r="T84" s="690" t="s">
        <v>885</v>
      </c>
    </row>
    <row r="85" spans="1:21" ht="30.2" customHeight="1" x14ac:dyDescent="0.2">
      <c r="A85" s="684"/>
      <c r="B85" s="683" t="s">
        <v>296</v>
      </c>
      <c r="C85" s="683" t="s">
        <v>297</v>
      </c>
      <c r="D85" s="699" t="s">
        <v>1074</v>
      </c>
      <c r="E85" s="689" t="s">
        <v>1009</v>
      </c>
      <c r="F85" s="701">
        <v>20000</v>
      </c>
      <c r="G85" s="690" t="s">
        <v>885</v>
      </c>
      <c r="H85" s="702" t="s">
        <v>1021</v>
      </c>
      <c r="I85" s="703">
        <v>39289</v>
      </c>
      <c r="J85" s="704">
        <v>0</v>
      </c>
      <c r="K85" s="690" t="s">
        <v>885</v>
      </c>
      <c r="L85" s="705"/>
      <c r="M85" s="698">
        <v>0</v>
      </c>
      <c r="N85" s="690" t="s">
        <v>885</v>
      </c>
      <c r="O85" s="704">
        <f t="shared" si="19"/>
        <v>1192.5</v>
      </c>
      <c r="P85" s="690" t="s">
        <v>885</v>
      </c>
      <c r="Q85" s="704">
        <f t="shared" si="20"/>
        <v>20000</v>
      </c>
      <c r="R85" s="690" t="s">
        <v>885</v>
      </c>
      <c r="S85" s="704">
        <f t="shared" si="21"/>
        <v>18807.5</v>
      </c>
      <c r="T85" s="690" t="s">
        <v>885</v>
      </c>
    </row>
    <row r="86" spans="1:21" ht="30.2" customHeight="1" x14ac:dyDescent="0.2">
      <c r="A86" s="684"/>
      <c r="B86" s="683" t="s">
        <v>296</v>
      </c>
      <c r="C86" s="683" t="s">
        <v>297</v>
      </c>
      <c r="D86" s="699" t="s">
        <v>1075</v>
      </c>
      <c r="E86" s="689" t="s">
        <v>1009</v>
      </c>
      <c r="F86" s="701">
        <v>20000</v>
      </c>
      <c r="G86" s="690" t="s">
        <v>885</v>
      </c>
      <c r="H86" s="702" t="s">
        <v>1021</v>
      </c>
      <c r="I86" s="703">
        <v>39289</v>
      </c>
      <c r="J86" s="704">
        <v>0</v>
      </c>
      <c r="K86" s="690" t="s">
        <v>885</v>
      </c>
      <c r="L86" s="705"/>
      <c r="M86" s="698">
        <v>0</v>
      </c>
      <c r="N86" s="690" t="s">
        <v>885</v>
      </c>
      <c r="O86" s="704">
        <f t="shared" si="19"/>
        <v>1192.5</v>
      </c>
      <c r="P86" s="690" t="s">
        <v>885</v>
      </c>
      <c r="Q86" s="704">
        <f t="shared" si="20"/>
        <v>20000</v>
      </c>
      <c r="R86" s="690" t="s">
        <v>885</v>
      </c>
      <c r="S86" s="704">
        <f t="shared" si="21"/>
        <v>18807.5</v>
      </c>
      <c r="T86" s="690" t="s">
        <v>885</v>
      </c>
    </row>
    <row r="87" spans="1:21" ht="30.2" customHeight="1" x14ac:dyDescent="0.2">
      <c r="A87" s="684"/>
      <c r="B87" s="683" t="s">
        <v>680</v>
      </c>
      <c r="C87" s="683" t="s">
        <v>681</v>
      </c>
      <c r="D87" s="699" t="s">
        <v>1077</v>
      </c>
      <c r="E87" s="689" t="s">
        <v>1009</v>
      </c>
      <c r="F87" s="701">
        <v>20000</v>
      </c>
      <c r="G87" s="690" t="s">
        <v>885</v>
      </c>
      <c r="H87" s="702" t="s">
        <v>1021</v>
      </c>
      <c r="I87" s="703">
        <v>39289</v>
      </c>
      <c r="J87" s="704">
        <v>0</v>
      </c>
      <c r="K87" s="690" t="s">
        <v>885</v>
      </c>
      <c r="L87" s="705"/>
      <c r="M87" s="698">
        <v>0</v>
      </c>
      <c r="N87" s="690" t="s">
        <v>885</v>
      </c>
      <c r="O87" s="704">
        <f t="shared" si="19"/>
        <v>1192.5</v>
      </c>
      <c r="P87" s="690" t="s">
        <v>885</v>
      </c>
      <c r="Q87" s="704">
        <f t="shared" si="20"/>
        <v>20000</v>
      </c>
      <c r="R87" s="690" t="s">
        <v>885</v>
      </c>
      <c r="S87" s="704">
        <f t="shared" si="21"/>
        <v>18807.5</v>
      </c>
      <c r="T87" s="690" t="s">
        <v>885</v>
      </c>
    </row>
    <row r="88" spans="1:21" ht="30.2" customHeight="1" x14ac:dyDescent="0.2">
      <c r="A88" s="684"/>
      <c r="B88" s="727" t="s">
        <v>301</v>
      </c>
      <c r="C88" s="727" t="s">
        <v>302</v>
      </c>
      <c r="D88" s="728" t="s">
        <v>1069</v>
      </c>
      <c r="E88" s="689" t="s">
        <v>1009</v>
      </c>
      <c r="F88" s="707">
        <v>20000</v>
      </c>
      <c r="G88" s="691" t="s">
        <v>885</v>
      </c>
      <c r="H88" s="702" t="s">
        <v>1021</v>
      </c>
      <c r="I88" s="703">
        <v>39289</v>
      </c>
      <c r="J88" s="704">
        <v>0</v>
      </c>
      <c r="K88" s="691" t="s">
        <v>885</v>
      </c>
      <c r="L88" s="705"/>
      <c r="M88" s="698">
        <v>0</v>
      </c>
      <c r="N88" s="691" t="s">
        <v>885</v>
      </c>
      <c r="O88" s="704">
        <f t="shared" si="19"/>
        <v>1192.5</v>
      </c>
      <c r="P88" s="691" t="s">
        <v>885</v>
      </c>
      <c r="Q88" s="704">
        <f t="shared" si="20"/>
        <v>20000</v>
      </c>
      <c r="R88" s="691" t="s">
        <v>885</v>
      </c>
      <c r="S88" s="704">
        <f t="shared" si="21"/>
        <v>18807.5</v>
      </c>
      <c r="T88" s="691" t="s">
        <v>885</v>
      </c>
    </row>
    <row r="89" spans="1:21" ht="30.2" customHeight="1" x14ac:dyDescent="0.2">
      <c r="A89" s="684"/>
      <c r="B89" s="727" t="s">
        <v>303</v>
      </c>
      <c r="C89" s="727" t="s">
        <v>304</v>
      </c>
      <c r="D89" s="728" t="s">
        <v>1076</v>
      </c>
      <c r="E89" s="689" t="s">
        <v>1009</v>
      </c>
      <c r="F89" s="707">
        <v>20000</v>
      </c>
      <c r="G89" s="691" t="s">
        <v>885</v>
      </c>
      <c r="H89" s="702" t="s">
        <v>1021</v>
      </c>
      <c r="I89" s="703">
        <v>39289</v>
      </c>
      <c r="J89" s="704">
        <v>0</v>
      </c>
      <c r="K89" s="691" t="s">
        <v>885</v>
      </c>
      <c r="L89" s="705"/>
      <c r="M89" s="698">
        <v>0</v>
      </c>
      <c r="N89" s="691" t="s">
        <v>885</v>
      </c>
      <c r="O89" s="704">
        <f t="shared" si="19"/>
        <v>1192.5</v>
      </c>
      <c r="P89" s="691" t="s">
        <v>885</v>
      </c>
      <c r="Q89" s="704">
        <f t="shared" si="20"/>
        <v>20000</v>
      </c>
      <c r="R89" s="691" t="s">
        <v>885</v>
      </c>
      <c r="S89" s="704">
        <f t="shared" si="21"/>
        <v>18807.5</v>
      </c>
      <c r="T89" s="691" t="s">
        <v>885</v>
      </c>
    </row>
    <row r="90" spans="1:21" ht="30.2" customHeight="1" x14ac:dyDescent="0.2">
      <c r="A90" s="684"/>
      <c r="B90" s="683" t="s">
        <v>1026</v>
      </c>
      <c r="C90" s="683" t="s">
        <v>298</v>
      </c>
      <c r="D90" s="699" t="s">
        <v>1070</v>
      </c>
      <c r="E90" s="689" t="s">
        <v>1009</v>
      </c>
      <c r="F90" s="701">
        <v>20000</v>
      </c>
      <c r="G90" s="690" t="s">
        <v>885</v>
      </c>
      <c r="H90" s="702" t="s">
        <v>1021</v>
      </c>
      <c r="I90" s="703">
        <v>39289</v>
      </c>
      <c r="J90" s="704">
        <v>0</v>
      </c>
      <c r="K90" s="690" t="s">
        <v>885</v>
      </c>
      <c r="L90" s="705"/>
      <c r="M90" s="698">
        <v>0</v>
      </c>
      <c r="N90" s="690" t="s">
        <v>885</v>
      </c>
      <c r="O90" s="704">
        <f t="shared" si="19"/>
        <v>1192.5</v>
      </c>
      <c r="P90" s="690" t="s">
        <v>885</v>
      </c>
      <c r="Q90" s="704">
        <f t="shared" si="20"/>
        <v>20000</v>
      </c>
      <c r="R90" s="690" t="s">
        <v>885</v>
      </c>
      <c r="S90" s="704">
        <f t="shared" si="21"/>
        <v>18807.5</v>
      </c>
      <c r="T90" s="690" t="s">
        <v>885</v>
      </c>
    </row>
    <row r="91" spans="1:21" ht="30.2" customHeight="1" x14ac:dyDescent="0.2">
      <c r="A91" s="684"/>
      <c r="B91" s="683" t="s">
        <v>299</v>
      </c>
      <c r="C91" s="683" t="s">
        <v>300</v>
      </c>
      <c r="D91" s="699" t="s">
        <v>1071</v>
      </c>
      <c r="E91" s="689" t="s">
        <v>1009</v>
      </c>
      <c r="F91" s="701">
        <v>20000</v>
      </c>
      <c r="G91" s="690" t="s">
        <v>885</v>
      </c>
      <c r="H91" s="702" t="s">
        <v>1021</v>
      </c>
      <c r="I91" s="703">
        <v>39289</v>
      </c>
      <c r="J91" s="704">
        <v>0</v>
      </c>
      <c r="K91" s="690" t="s">
        <v>885</v>
      </c>
      <c r="L91" s="705"/>
      <c r="M91" s="698">
        <v>0</v>
      </c>
      <c r="N91" s="690" t="s">
        <v>885</v>
      </c>
      <c r="O91" s="704">
        <f t="shared" si="19"/>
        <v>1192.5</v>
      </c>
      <c r="P91" s="690" t="s">
        <v>885</v>
      </c>
      <c r="Q91" s="704">
        <f t="shared" si="20"/>
        <v>20000</v>
      </c>
      <c r="R91" s="690" t="s">
        <v>885</v>
      </c>
      <c r="S91" s="704">
        <f t="shared" si="21"/>
        <v>18807.5</v>
      </c>
      <c r="T91" s="690" t="s">
        <v>885</v>
      </c>
    </row>
    <row r="92" spans="1:21" ht="30.2" customHeight="1" x14ac:dyDescent="0.2">
      <c r="A92" s="684"/>
      <c r="B92" s="683" t="s">
        <v>1027</v>
      </c>
      <c r="C92" s="683" t="s">
        <v>17</v>
      </c>
      <c r="D92" s="699">
        <v>75970</v>
      </c>
      <c r="E92" s="689" t="s">
        <v>1009</v>
      </c>
      <c r="F92" s="701">
        <v>3000</v>
      </c>
      <c r="G92" s="690" t="s">
        <v>885</v>
      </c>
      <c r="H92" s="702" t="s">
        <v>1021</v>
      </c>
      <c r="I92" s="703">
        <v>39289</v>
      </c>
      <c r="J92" s="704">
        <v>0</v>
      </c>
      <c r="K92" s="690" t="s">
        <v>885</v>
      </c>
      <c r="L92" s="705"/>
      <c r="M92" s="698">
        <v>0</v>
      </c>
      <c r="N92" s="690" t="s">
        <v>885</v>
      </c>
      <c r="O92" s="704">
        <f t="shared" ref="O92:O108" si="22">M92+($C$4-J92)</f>
        <v>1192.5</v>
      </c>
      <c r="P92" s="690" t="s">
        <v>885</v>
      </c>
      <c r="Q92" s="704">
        <f t="shared" ref="Q92:Q106" si="23">(F92-O92)+$C$4</f>
        <v>3000</v>
      </c>
      <c r="R92" s="690" t="s">
        <v>885</v>
      </c>
      <c r="S92" s="704">
        <f t="shared" ref="S92:S108" si="24">Q92-$C$4</f>
        <v>1807.5</v>
      </c>
      <c r="T92" s="690" t="s">
        <v>885</v>
      </c>
      <c r="U92" s="309" t="str">
        <f t="shared" ref="U92:U103" si="25">IF(S:S&lt;=50,"ALERTA","")</f>
        <v/>
      </c>
    </row>
    <row r="93" spans="1:21" ht="30.2" customHeight="1" x14ac:dyDescent="0.2">
      <c r="A93" s="684"/>
      <c r="B93" s="683" t="s">
        <v>1027</v>
      </c>
      <c r="C93" s="683" t="s">
        <v>17</v>
      </c>
      <c r="D93" s="699">
        <v>75990</v>
      </c>
      <c r="E93" s="689" t="s">
        <v>1009</v>
      </c>
      <c r="F93" s="701">
        <v>3000</v>
      </c>
      <c r="G93" s="690" t="s">
        <v>885</v>
      </c>
      <c r="H93" s="702" t="s">
        <v>1021</v>
      </c>
      <c r="I93" s="703">
        <v>39289</v>
      </c>
      <c r="J93" s="704">
        <v>0</v>
      </c>
      <c r="K93" s="690" t="s">
        <v>885</v>
      </c>
      <c r="L93" s="705"/>
      <c r="M93" s="698">
        <v>0</v>
      </c>
      <c r="N93" s="690" t="s">
        <v>885</v>
      </c>
      <c r="O93" s="704">
        <f t="shared" si="22"/>
        <v>1192.5</v>
      </c>
      <c r="P93" s="690" t="s">
        <v>885</v>
      </c>
      <c r="Q93" s="704">
        <f t="shared" si="23"/>
        <v>3000</v>
      </c>
      <c r="R93" s="690" t="s">
        <v>885</v>
      </c>
      <c r="S93" s="704">
        <f t="shared" si="24"/>
        <v>1807.5</v>
      </c>
      <c r="T93" s="690" t="s">
        <v>885</v>
      </c>
      <c r="U93" s="309" t="str">
        <f t="shared" si="25"/>
        <v/>
      </c>
    </row>
    <row r="94" spans="1:21" ht="30.2" customHeight="1" x14ac:dyDescent="0.2">
      <c r="A94" s="684"/>
      <c r="B94" s="683" t="s">
        <v>1027</v>
      </c>
      <c r="C94" s="683" t="s">
        <v>17</v>
      </c>
      <c r="D94" s="699">
        <v>75992</v>
      </c>
      <c r="E94" s="689" t="s">
        <v>1009</v>
      </c>
      <c r="F94" s="701">
        <v>3000</v>
      </c>
      <c r="G94" s="690" t="s">
        <v>885</v>
      </c>
      <c r="H94" s="702" t="s">
        <v>1021</v>
      </c>
      <c r="I94" s="703">
        <v>39289</v>
      </c>
      <c r="J94" s="704">
        <v>0</v>
      </c>
      <c r="K94" s="690" t="s">
        <v>885</v>
      </c>
      <c r="L94" s="705"/>
      <c r="M94" s="698">
        <v>0</v>
      </c>
      <c r="N94" s="690" t="s">
        <v>885</v>
      </c>
      <c r="O94" s="704">
        <f t="shared" si="22"/>
        <v>1192.5</v>
      </c>
      <c r="P94" s="690" t="s">
        <v>885</v>
      </c>
      <c r="Q94" s="704">
        <f t="shared" si="23"/>
        <v>3000</v>
      </c>
      <c r="R94" s="690" t="s">
        <v>885</v>
      </c>
      <c r="S94" s="704">
        <f t="shared" si="24"/>
        <v>1807.5</v>
      </c>
      <c r="T94" s="690" t="s">
        <v>885</v>
      </c>
      <c r="U94" s="309" t="str">
        <f t="shared" si="25"/>
        <v/>
      </c>
    </row>
    <row r="95" spans="1:21" ht="30.2" customHeight="1" x14ac:dyDescent="0.2">
      <c r="A95" s="684"/>
      <c r="B95" s="683" t="s">
        <v>1027</v>
      </c>
      <c r="C95" s="683" t="s">
        <v>17</v>
      </c>
      <c r="D95" s="699">
        <v>75995</v>
      </c>
      <c r="E95" s="689" t="s">
        <v>1009</v>
      </c>
      <c r="F95" s="701">
        <v>3000</v>
      </c>
      <c r="G95" s="690" t="s">
        <v>885</v>
      </c>
      <c r="H95" s="702" t="s">
        <v>1021</v>
      </c>
      <c r="I95" s="703">
        <v>39289</v>
      </c>
      <c r="J95" s="704">
        <v>0</v>
      </c>
      <c r="K95" s="690" t="s">
        <v>885</v>
      </c>
      <c r="L95" s="705"/>
      <c r="M95" s="698">
        <v>0</v>
      </c>
      <c r="N95" s="690" t="s">
        <v>885</v>
      </c>
      <c r="O95" s="704">
        <f t="shared" si="22"/>
        <v>1192.5</v>
      </c>
      <c r="P95" s="690" t="s">
        <v>885</v>
      </c>
      <c r="Q95" s="704">
        <f t="shared" si="23"/>
        <v>3000</v>
      </c>
      <c r="R95" s="690" t="s">
        <v>885</v>
      </c>
      <c r="S95" s="704">
        <f t="shared" si="24"/>
        <v>1807.5</v>
      </c>
      <c r="T95" s="690" t="s">
        <v>885</v>
      </c>
      <c r="U95" s="309" t="str">
        <f t="shared" si="25"/>
        <v/>
      </c>
    </row>
    <row r="96" spans="1:21" ht="30.2" customHeight="1" x14ac:dyDescent="0.2">
      <c r="A96" s="684"/>
      <c r="B96" s="683" t="s">
        <v>1027</v>
      </c>
      <c r="C96" s="683" t="s">
        <v>17</v>
      </c>
      <c r="D96" s="699">
        <v>76001</v>
      </c>
      <c r="E96" s="689" t="s">
        <v>1009</v>
      </c>
      <c r="F96" s="701">
        <v>3000</v>
      </c>
      <c r="G96" s="690" t="s">
        <v>885</v>
      </c>
      <c r="H96" s="702" t="s">
        <v>1021</v>
      </c>
      <c r="I96" s="703">
        <v>39289</v>
      </c>
      <c r="J96" s="704">
        <v>0</v>
      </c>
      <c r="K96" s="690" t="s">
        <v>885</v>
      </c>
      <c r="L96" s="705"/>
      <c r="M96" s="698">
        <v>0</v>
      </c>
      <c r="N96" s="690" t="s">
        <v>885</v>
      </c>
      <c r="O96" s="704">
        <f t="shared" si="22"/>
        <v>1192.5</v>
      </c>
      <c r="P96" s="690" t="s">
        <v>885</v>
      </c>
      <c r="Q96" s="704">
        <f t="shared" si="23"/>
        <v>3000</v>
      </c>
      <c r="R96" s="690" t="s">
        <v>885</v>
      </c>
      <c r="S96" s="704">
        <f t="shared" si="24"/>
        <v>1807.5</v>
      </c>
      <c r="T96" s="690" t="s">
        <v>885</v>
      </c>
      <c r="U96" s="309" t="str">
        <f t="shared" si="25"/>
        <v/>
      </c>
    </row>
    <row r="97" spans="1:21" ht="30.2" customHeight="1" x14ac:dyDescent="0.2">
      <c r="A97" s="684"/>
      <c r="B97" s="683" t="s">
        <v>1027</v>
      </c>
      <c r="C97" s="683" t="s">
        <v>17</v>
      </c>
      <c r="D97" s="699">
        <v>76205</v>
      </c>
      <c r="E97" s="689" t="s">
        <v>1009</v>
      </c>
      <c r="F97" s="701">
        <v>3000</v>
      </c>
      <c r="G97" s="690" t="s">
        <v>885</v>
      </c>
      <c r="H97" s="702" t="s">
        <v>1021</v>
      </c>
      <c r="I97" s="703">
        <v>39289</v>
      </c>
      <c r="J97" s="704">
        <v>0</v>
      </c>
      <c r="K97" s="690" t="s">
        <v>885</v>
      </c>
      <c r="L97" s="705"/>
      <c r="M97" s="698">
        <v>0</v>
      </c>
      <c r="N97" s="690" t="s">
        <v>885</v>
      </c>
      <c r="O97" s="704">
        <f t="shared" si="22"/>
        <v>1192.5</v>
      </c>
      <c r="P97" s="690" t="s">
        <v>885</v>
      </c>
      <c r="Q97" s="704">
        <f t="shared" si="23"/>
        <v>3000</v>
      </c>
      <c r="R97" s="690" t="s">
        <v>885</v>
      </c>
      <c r="S97" s="704">
        <f t="shared" si="24"/>
        <v>1807.5</v>
      </c>
      <c r="T97" s="690" t="s">
        <v>885</v>
      </c>
      <c r="U97" s="309" t="str">
        <f t="shared" si="25"/>
        <v/>
      </c>
    </row>
    <row r="98" spans="1:21" ht="30.2" customHeight="1" x14ac:dyDescent="0.2">
      <c r="A98" s="684"/>
      <c r="B98" s="683" t="s">
        <v>1027</v>
      </c>
      <c r="C98" s="683" t="s">
        <v>24</v>
      </c>
      <c r="D98" s="699">
        <v>69351</v>
      </c>
      <c r="E98" s="689" t="s">
        <v>1009</v>
      </c>
      <c r="F98" s="701">
        <v>3000</v>
      </c>
      <c r="G98" s="690" t="s">
        <v>885</v>
      </c>
      <c r="H98" s="702" t="s">
        <v>1021</v>
      </c>
      <c r="I98" s="703">
        <v>39289</v>
      </c>
      <c r="J98" s="704">
        <v>0</v>
      </c>
      <c r="K98" s="690" t="s">
        <v>885</v>
      </c>
      <c r="L98" s="705"/>
      <c r="M98" s="698">
        <v>0</v>
      </c>
      <c r="N98" s="690" t="s">
        <v>885</v>
      </c>
      <c r="O98" s="704">
        <f t="shared" si="22"/>
        <v>1192.5</v>
      </c>
      <c r="P98" s="690" t="s">
        <v>885</v>
      </c>
      <c r="Q98" s="704">
        <f t="shared" si="23"/>
        <v>3000</v>
      </c>
      <c r="R98" s="690" t="s">
        <v>885</v>
      </c>
      <c r="S98" s="704">
        <f t="shared" si="24"/>
        <v>1807.5</v>
      </c>
      <c r="T98" s="690" t="s">
        <v>885</v>
      </c>
      <c r="U98" s="309" t="str">
        <f t="shared" si="25"/>
        <v/>
      </c>
    </row>
    <row r="99" spans="1:21" ht="30.2" customHeight="1" x14ac:dyDescent="0.2">
      <c r="A99" s="684"/>
      <c r="B99" s="683" t="s">
        <v>1027</v>
      </c>
      <c r="C99" s="683" t="s">
        <v>24</v>
      </c>
      <c r="D99" s="699">
        <v>69360</v>
      </c>
      <c r="E99" s="689" t="s">
        <v>1009</v>
      </c>
      <c r="F99" s="701">
        <v>3000</v>
      </c>
      <c r="G99" s="690" t="s">
        <v>885</v>
      </c>
      <c r="H99" s="702" t="s">
        <v>1021</v>
      </c>
      <c r="I99" s="703">
        <v>39289</v>
      </c>
      <c r="J99" s="704">
        <v>0</v>
      </c>
      <c r="K99" s="690" t="s">
        <v>885</v>
      </c>
      <c r="L99" s="705"/>
      <c r="M99" s="698">
        <v>0</v>
      </c>
      <c r="N99" s="690" t="s">
        <v>885</v>
      </c>
      <c r="O99" s="704">
        <f t="shared" si="22"/>
        <v>1192.5</v>
      </c>
      <c r="P99" s="690" t="s">
        <v>885</v>
      </c>
      <c r="Q99" s="704">
        <f t="shared" si="23"/>
        <v>3000</v>
      </c>
      <c r="R99" s="690" t="s">
        <v>885</v>
      </c>
      <c r="S99" s="704">
        <f t="shared" si="24"/>
        <v>1807.5</v>
      </c>
      <c r="T99" s="690" t="s">
        <v>885</v>
      </c>
      <c r="U99" s="309" t="str">
        <f t="shared" si="25"/>
        <v/>
      </c>
    </row>
    <row r="100" spans="1:21" ht="30.2" customHeight="1" x14ac:dyDescent="0.2">
      <c r="A100" s="684"/>
      <c r="B100" s="683" t="s">
        <v>1027</v>
      </c>
      <c r="C100" s="683" t="s">
        <v>24</v>
      </c>
      <c r="D100" s="699">
        <v>69376</v>
      </c>
      <c r="E100" s="689" t="s">
        <v>1009</v>
      </c>
      <c r="F100" s="701">
        <v>3000</v>
      </c>
      <c r="G100" s="690" t="s">
        <v>885</v>
      </c>
      <c r="H100" s="702" t="s">
        <v>1021</v>
      </c>
      <c r="I100" s="703">
        <v>39289</v>
      </c>
      <c r="J100" s="704">
        <v>0</v>
      </c>
      <c r="K100" s="690" t="s">
        <v>885</v>
      </c>
      <c r="L100" s="705"/>
      <c r="M100" s="698">
        <v>0</v>
      </c>
      <c r="N100" s="690" t="s">
        <v>885</v>
      </c>
      <c r="O100" s="704">
        <f t="shared" si="22"/>
        <v>1192.5</v>
      </c>
      <c r="P100" s="690" t="s">
        <v>885</v>
      </c>
      <c r="Q100" s="704">
        <f t="shared" si="23"/>
        <v>3000</v>
      </c>
      <c r="R100" s="690" t="s">
        <v>885</v>
      </c>
      <c r="S100" s="704">
        <f t="shared" si="24"/>
        <v>1807.5</v>
      </c>
      <c r="T100" s="690" t="s">
        <v>885</v>
      </c>
      <c r="U100" s="309" t="str">
        <f t="shared" si="25"/>
        <v/>
      </c>
    </row>
    <row r="101" spans="1:21" ht="30.2" customHeight="1" x14ac:dyDescent="0.2">
      <c r="A101" s="684"/>
      <c r="B101" s="683" t="s">
        <v>1027</v>
      </c>
      <c r="C101" s="683" t="s">
        <v>24</v>
      </c>
      <c r="D101" s="699">
        <v>69377</v>
      </c>
      <c r="E101" s="689" t="s">
        <v>1009</v>
      </c>
      <c r="F101" s="701">
        <v>3000</v>
      </c>
      <c r="G101" s="690" t="s">
        <v>885</v>
      </c>
      <c r="H101" s="702" t="s">
        <v>1021</v>
      </c>
      <c r="I101" s="703">
        <v>39289</v>
      </c>
      <c r="J101" s="704">
        <v>0</v>
      </c>
      <c r="K101" s="690" t="s">
        <v>885</v>
      </c>
      <c r="L101" s="705"/>
      <c r="M101" s="698">
        <v>0</v>
      </c>
      <c r="N101" s="690" t="s">
        <v>885</v>
      </c>
      <c r="O101" s="704">
        <f t="shared" si="22"/>
        <v>1192.5</v>
      </c>
      <c r="P101" s="690" t="s">
        <v>885</v>
      </c>
      <c r="Q101" s="704">
        <f t="shared" si="23"/>
        <v>3000</v>
      </c>
      <c r="R101" s="690" t="s">
        <v>885</v>
      </c>
      <c r="S101" s="704">
        <f t="shared" si="24"/>
        <v>1807.5</v>
      </c>
      <c r="T101" s="690" t="s">
        <v>885</v>
      </c>
      <c r="U101" s="309" t="str">
        <f t="shared" si="25"/>
        <v/>
      </c>
    </row>
    <row r="102" spans="1:21" ht="30.2" customHeight="1" x14ac:dyDescent="0.2">
      <c r="A102" s="684"/>
      <c r="B102" s="683" t="s">
        <v>1027</v>
      </c>
      <c r="C102" s="683" t="s">
        <v>24</v>
      </c>
      <c r="D102" s="699">
        <v>69461</v>
      </c>
      <c r="E102" s="689" t="s">
        <v>1009</v>
      </c>
      <c r="F102" s="701">
        <v>3000</v>
      </c>
      <c r="G102" s="690" t="s">
        <v>885</v>
      </c>
      <c r="H102" s="702" t="s">
        <v>1021</v>
      </c>
      <c r="I102" s="703">
        <v>39289</v>
      </c>
      <c r="J102" s="704">
        <v>0</v>
      </c>
      <c r="K102" s="690" t="s">
        <v>885</v>
      </c>
      <c r="L102" s="705"/>
      <c r="M102" s="698">
        <v>0</v>
      </c>
      <c r="N102" s="690" t="s">
        <v>885</v>
      </c>
      <c r="O102" s="704">
        <f t="shared" si="22"/>
        <v>1192.5</v>
      </c>
      <c r="P102" s="690" t="s">
        <v>885</v>
      </c>
      <c r="Q102" s="704">
        <f t="shared" si="23"/>
        <v>3000</v>
      </c>
      <c r="R102" s="690" t="s">
        <v>885</v>
      </c>
      <c r="S102" s="704">
        <f t="shared" si="24"/>
        <v>1807.5</v>
      </c>
      <c r="T102" s="690" t="s">
        <v>885</v>
      </c>
      <c r="U102" s="309" t="str">
        <f t="shared" si="25"/>
        <v/>
      </c>
    </row>
    <row r="103" spans="1:21" ht="30.2" customHeight="1" x14ac:dyDescent="0.2">
      <c r="A103" s="684"/>
      <c r="B103" s="683" t="s">
        <v>1027</v>
      </c>
      <c r="C103" s="683" t="s">
        <v>24</v>
      </c>
      <c r="D103" s="699">
        <v>69468</v>
      </c>
      <c r="E103" s="689" t="s">
        <v>1009</v>
      </c>
      <c r="F103" s="701">
        <v>3000</v>
      </c>
      <c r="G103" s="690" t="s">
        <v>885</v>
      </c>
      <c r="H103" s="702" t="s">
        <v>1021</v>
      </c>
      <c r="I103" s="703">
        <v>39289</v>
      </c>
      <c r="J103" s="704">
        <v>0</v>
      </c>
      <c r="K103" s="690" t="s">
        <v>885</v>
      </c>
      <c r="L103" s="705"/>
      <c r="M103" s="698">
        <v>0</v>
      </c>
      <c r="N103" s="690" t="s">
        <v>885</v>
      </c>
      <c r="O103" s="704">
        <f t="shared" si="22"/>
        <v>1192.5</v>
      </c>
      <c r="P103" s="690" t="s">
        <v>885</v>
      </c>
      <c r="Q103" s="704">
        <f t="shared" si="23"/>
        <v>3000</v>
      </c>
      <c r="R103" s="690" t="s">
        <v>885</v>
      </c>
      <c r="S103" s="704">
        <f t="shared" si="24"/>
        <v>1807.5</v>
      </c>
      <c r="T103" s="690" t="s">
        <v>885</v>
      </c>
      <c r="U103" s="309" t="str">
        <f t="shared" si="25"/>
        <v/>
      </c>
    </row>
    <row r="104" spans="1:21" ht="18" customHeight="1" x14ac:dyDescent="0.2">
      <c r="A104" s="684"/>
      <c r="B104" s="1642" t="s">
        <v>293</v>
      </c>
      <c r="C104" s="1642" t="s">
        <v>1068</v>
      </c>
      <c r="D104" s="1642" t="s">
        <v>1069</v>
      </c>
      <c r="E104" s="1687" t="s">
        <v>1009</v>
      </c>
      <c r="F104" s="707">
        <v>20000</v>
      </c>
      <c r="G104" s="691" t="s">
        <v>885</v>
      </c>
      <c r="H104" s="744" t="s">
        <v>1021</v>
      </c>
      <c r="I104" s="729">
        <v>39289</v>
      </c>
      <c r="J104" s="730">
        <v>0</v>
      </c>
      <c r="K104" s="691" t="s">
        <v>885</v>
      </c>
      <c r="L104" s="731"/>
      <c r="M104" s="732">
        <v>0</v>
      </c>
      <c r="N104" s="691" t="s">
        <v>885</v>
      </c>
      <c r="O104" s="730">
        <f>M104+($C$4-J104)</f>
        <v>1192.5</v>
      </c>
      <c r="P104" s="691" t="s">
        <v>885</v>
      </c>
      <c r="Q104" s="730">
        <f>(F104-O104)+$C$4</f>
        <v>20000</v>
      </c>
      <c r="R104" s="691" t="s">
        <v>885</v>
      </c>
      <c r="S104" s="730">
        <f>Q104-$C$4</f>
        <v>18807.5</v>
      </c>
      <c r="T104" s="691" t="s">
        <v>885</v>
      </c>
    </row>
    <row r="105" spans="1:21" ht="18" customHeight="1" x14ac:dyDescent="0.2">
      <c r="A105" s="684"/>
      <c r="B105" s="1620"/>
      <c r="C105" s="1620"/>
      <c r="D105" s="1620"/>
      <c r="E105" s="1688"/>
      <c r="F105" s="710">
        <v>72000</v>
      </c>
      <c r="G105" s="692" t="s">
        <v>963</v>
      </c>
      <c r="H105" s="746" t="s">
        <v>1021</v>
      </c>
      <c r="I105" s="717"/>
      <c r="J105" s="718">
        <v>0</v>
      </c>
      <c r="K105" s="692" t="s">
        <v>963</v>
      </c>
      <c r="L105" s="769"/>
      <c r="M105" s="719">
        <v>0</v>
      </c>
      <c r="N105" s="692" t="s">
        <v>963</v>
      </c>
      <c r="O105" s="718">
        <f>M105+($C$5-J105)</f>
        <v>3532</v>
      </c>
      <c r="P105" s="692" t="s">
        <v>963</v>
      </c>
      <c r="Q105" s="718">
        <f>(F105-O105)+$C$5</f>
        <v>72000</v>
      </c>
      <c r="R105" s="692" t="s">
        <v>963</v>
      </c>
      <c r="S105" s="718">
        <f>Q105-$C$5</f>
        <v>68468</v>
      </c>
      <c r="T105" s="692" t="s">
        <v>963</v>
      </c>
    </row>
    <row r="106" spans="1:21" ht="30.2" customHeight="1" x14ac:dyDescent="0.2">
      <c r="A106" s="684"/>
      <c r="B106" s="683" t="s">
        <v>1010</v>
      </c>
      <c r="C106" s="683" t="s">
        <v>202</v>
      </c>
      <c r="D106" s="699" t="s">
        <v>1067</v>
      </c>
      <c r="E106" s="689" t="s">
        <v>1009</v>
      </c>
      <c r="F106" s="701">
        <v>4800</v>
      </c>
      <c r="G106" s="690" t="s">
        <v>885</v>
      </c>
      <c r="H106" s="702" t="s">
        <v>987</v>
      </c>
      <c r="I106" s="703">
        <v>39289</v>
      </c>
      <c r="J106" s="704">
        <v>0</v>
      </c>
      <c r="K106" s="690" t="s">
        <v>885</v>
      </c>
      <c r="L106" s="705"/>
      <c r="M106" s="698">
        <v>0</v>
      </c>
      <c r="N106" s="690" t="s">
        <v>885</v>
      </c>
      <c r="O106" s="704">
        <f t="shared" si="22"/>
        <v>1192.5</v>
      </c>
      <c r="P106" s="690" t="s">
        <v>885</v>
      </c>
      <c r="Q106" s="704">
        <f t="shared" si="23"/>
        <v>4800</v>
      </c>
      <c r="R106" s="690" t="s">
        <v>885</v>
      </c>
      <c r="S106" s="704">
        <f t="shared" si="24"/>
        <v>3607.5</v>
      </c>
      <c r="T106" s="690" t="s">
        <v>885</v>
      </c>
      <c r="U106" s="309" t="str">
        <f>IF(S:S&lt;=50,"ALERTA","")</f>
        <v/>
      </c>
    </row>
    <row r="107" spans="1:21" s="1280" customFormat="1" ht="30.2" customHeight="1" x14ac:dyDescent="0.2">
      <c r="A107" s="1273"/>
      <c r="B107" s="727" t="s">
        <v>1431</v>
      </c>
      <c r="C107" s="727" t="s">
        <v>1432</v>
      </c>
      <c r="D107" s="728" t="s">
        <v>1430</v>
      </c>
      <c r="E107" s="700" t="s">
        <v>1029</v>
      </c>
      <c r="F107" s="707">
        <v>120</v>
      </c>
      <c r="G107" s="1306" t="s">
        <v>880</v>
      </c>
      <c r="H107" s="702" t="s">
        <v>987</v>
      </c>
      <c r="I107" s="703">
        <v>39289</v>
      </c>
      <c r="J107" s="704">
        <v>0</v>
      </c>
      <c r="K107" s="690" t="s">
        <v>885</v>
      </c>
      <c r="L107" s="705"/>
      <c r="M107" s="698">
        <v>24</v>
      </c>
      <c r="N107" s="690" t="s">
        <v>906</v>
      </c>
      <c r="O107" s="704">
        <f>M107+($S$1-I107)</f>
        <v>2184</v>
      </c>
      <c r="P107" s="690" t="s">
        <v>906</v>
      </c>
      <c r="Q107" s="706">
        <v>42916</v>
      </c>
      <c r="R107" s="690"/>
      <c r="S107" s="704">
        <f>Q107-$S$1</f>
        <v>1467</v>
      </c>
      <c r="T107" s="690" t="s">
        <v>906</v>
      </c>
    </row>
    <row r="108" spans="1:21" ht="30" customHeight="1" x14ac:dyDescent="0.2">
      <c r="A108" s="684"/>
      <c r="B108" s="982" t="s">
        <v>1028</v>
      </c>
      <c r="C108" s="1030" t="s">
        <v>305</v>
      </c>
      <c r="D108" s="736" t="s">
        <v>1078</v>
      </c>
      <c r="E108" s="737" t="s">
        <v>1029</v>
      </c>
      <c r="F108" s="770">
        <v>20000</v>
      </c>
      <c r="G108" s="693" t="s">
        <v>885</v>
      </c>
      <c r="H108" s="731" t="s">
        <v>1021</v>
      </c>
      <c r="I108" s="703">
        <v>39289</v>
      </c>
      <c r="J108" s="771">
        <v>0</v>
      </c>
      <c r="K108" s="693" t="s">
        <v>885</v>
      </c>
      <c r="L108" s="705"/>
      <c r="M108" s="772">
        <v>0</v>
      </c>
      <c r="N108" s="693" t="s">
        <v>885</v>
      </c>
      <c r="O108" s="771">
        <f t="shared" si="22"/>
        <v>1192.5</v>
      </c>
      <c r="P108" s="693" t="s">
        <v>885</v>
      </c>
      <c r="Q108" s="730">
        <f>F108+J108</f>
        <v>20000</v>
      </c>
      <c r="R108" s="693" t="s">
        <v>885</v>
      </c>
      <c r="S108" s="730">
        <f t="shared" si="24"/>
        <v>18807.5</v>
      </c>
      <c r="T108" s="693" t="s">
        <v>885</v>
      </c>
      <c r="U108" s="309" t="str">
        <f>IF(S:S&lt;=50,"ALERTA","")</f>
        <v/>
      </c>
    </row>
    <row r="109" spans="1:21" ht="30" customHeight="1" x14ac:dyDescent="0.2">
      <c r="A109" s="684"/>
      <c r="B109" s="830" t="s">
        <v>1028</v>
      </c>
      <c r="C109" s="739" t="s">
        <v>305</v>
      </c>
      <c r="D109" s="739" t="s">
        <v>1079</v>
      </c>
      <c r="E109" s="682" t="s">
        <v>1029</v>
      </c>
      <c r="F109" s="774">
        <v>20000</v>
      </c>
      <c r="G109" s="750" t="s">
        <v>885</v>
      </c>
      <c r="H109" s="705" t="s">
        <v>1021</v>
      </c>
      <c r="I109" s="703">
        <v>39289</v>
      </c>
      <c r="J109" s="1208">
        <v>0</v>
      </c>
      <c r="K109" s="750" t="s">
        <v>885</v>
      </c>
      <c r="L109" s="705"/>
      <c r="M109" s="1209">
        <v>0</v>
      </c>
      <c r="N109" s="750" t="s">
        <v>885</v>
      </c>
      <c r="O109" s="1208">
        <f t="shared" ref="O109" si="26">M109+($C$4-J109)</f>
        <v>1192.5</v>
      </c>
      <c r="P109" s="750" t="s">
        <v>885</v>
      </c>
      <c r="Q109" s="704">
        <f>F109+J109</f>
        <v>20000</v>
      </c>
      <c r="R109" s="750" t="s">
        <v>885</v>
      </c>
      <c r="S109" s="704">
        <f t="shared" ref="S109" si="27">Q109-$C$4</f>
        <v>18807.5</v>
      </c>
      <c r="T109" s="750" t="s">
        <v>885</v>
      </c>
    </row>
    <row r="110" spans="1:21" ht="30.2" customHeight="1" x14ac:dyDescent="0.2">
      <c r="A110" s="684"/>
      <c r="B110" s="727" t="s">
        <v>1030</v>
      </c>
      <c r="C110" s="727" t="s">
        <v>306</v>
      </c>
      <c r="D110" s="728" t="s">
        <v>1080</v>
      </c>
      <c r="E110" s="737" t="s">
        <v>1029</v>
      </c>
      <c r="F110" s="707">
        <v>20000</v>
      </c>
      <c r="G110" s="691" t="s">
        <v>885</v>
      </c>
      <c r="H110" s="702" t="s">
        <v>1021</v>
      </c>
      <c r="I110" s="703">
        <v>39289</v>
      </c>
      <c r="J110" s="704">
        <v>0</v>
      </c>
      <c r="K110" s="691" t="s">
        <v>885</v>
      </c>
      <c r="L110" s="705"/>
      <c r="M110" s="698">
        <v>0</v>
      </c>
      <c r="N110" s="691" t="s">
        <v>885</v>
      </c>
      <c r="O110" s="704">
        <f t="shared" ref="O110:O115" si="28">M110+($C$4-J110)</f>
        <v>1192.5</v>
      </c>
      <c r="P110" s="691" t="s">
        <v>885</v>
      </c>
      <c r="Q110" s="704">
        <f>(F110-O110)+$C$4</f>
        <v>20000</v>
      </c>
      <c r="R110" s="691" t="s">
        <v>885</v>
      </c>
      <c r="S110" s="704">
        <f t="shared" ref="S110:S115" si="29">Q110-$C$4</f>
        <v>18807.5</v>
      </c>
      <c r="T110" s="691" t="s">
        <v>885</v>
      </c>
      <c r="U110" s="309" t="str">
        <f>IF(S:S&lt;=50,"ALERTA","")</f>
        <v/>
      </c>
    </row>
    <row r="111" spans="1:21" ht="30.2" customHeight="1" x14ac:dyDescent="0.2">
      <c r="A111" s="684"/>
      <c r="B111" s="727" t="s">
        <v>1030</v>
      </c>
      <c r="C111" s="727" t="s">
        <v>306</v>
      </c>
      <c r="D111" s="728" t="s">
        <v>1081</v>
      </c>
      <c r="E111" s="737" t="s">
        <v>1029</v>
      </c>
      <c r="F111" s="707">
        <v>20000</v>
      </c>
      <c r="G111" s="691" t="s">
        <v>885</v>
      </c>
      <c r="H111" s="702" t="s">
        <v>1021</v>
      </c>
      <c r="I111" s="703">
        <v>39289</v>
      </c>
      <c r="J111" s="704">
        <v>0</v>
      </c>
      <c r="K111" s="691" t="s">
        <v>885</v>
      </c>
      <c r="L111" s="705"/>
      <c r="M111" s="698">
        <v>0</v>
      </c>
      <c r="N111" s="691" t="s">
        <v>885</v>
      </c>
      <c r="O111" s="704">
        <f t="shared" si="28"/>
        <v>1192.5</v>
      </c>
      <c r="P111" s="691" t="s">
        <v>885</v>
      </c>
      <c r="Q111" s="704">
        <f>(F111-O111)+$C$4</f>
        <v>20000</v>
      </c>
      <c r="R111" s="691" t="s">
        <v>885</v>
      </c>
      <c r="S111" s="704">
        <f t="shared" si="29"/>
        <v>18807.5</v>
      </c>
      <c r="T111" s="691" t="s">
        <v>885</v>
      </c>
      <c r="U111" s="309" t="str">
        <f>IF(S:S&lt;=50,"ALERTA","")</f>
        <v/>
      </c>
    </row>
    <row r="112" spans="1:21" ht="30.2" customHeight="1" x14ac:dyDescent="0.2">
      <c r="A112" s="684"/>
      <c r="B112" s="727" t="s">
        <v>307</v>
      </c>
      <c r="C112" s="727" t="s">
        <v>308</v>
      </c>
      <c r="D112" s="728" t="s">
        <v>1082</v>
      </c>
      <c r="E112" s="737" t="s">
        <v>1029</v>
      </c>
      <c r="F112" s="707">
        <v>20000</v>
      </c>
      <c r="G112" s="691" t="s">
        <v>885</v>
      </c>
      <c r="H112" s="702" t="s">
        <v>1021</v>
      </c>
      <c r="I112" s="703">
        <v>39289</v>
      </c>
      <c r="J112" s="704">
        <v>0</v>
      </c>
      <c r="K112" s="691" t="s">
        <v>885</v>
      </c>
      <c r="L112" s="705"/>
      <c r="M112" s="698">
        <v>0</v>
      </c>
      <c r="N112" s="691" t="s">
        <v>885</v>
      </c>
      <c r="O112" s="704">
        <f t="shared" si="28"/>
        <v>1192.5</v>
      </c>
      <c r="P112" s="691" t="s">
        <v>885</v>
      </c>
      <c r="Q112" s="704">
        <f>(F112-O112)+$C$4</f>
        <v>20000</v>
      </c>
      <c r="R112" s="691" t="s">
        <v>885</v>
      </c>
      <c r="S112" s="704">
        <f t="shared" si="29"/>
        <v>18807.5</v>
      </c>
      <c r="T112" s="691" t="s">
        <v>885</v>
      </c>
      <c r="U112" s="309" t="str">
        <f>IF(S:S&lt;=50,"ALERTA","")</f>
        <v/>
      </c>
    </row>
    <row r="113" spans="1:21" ht="30.2" customHeight="1" x14ac:dyDescent="0.2">
      <c r="A113" s="684"/>
      <c r="B113" s="683" t="s">
        <v>307</v>
      </c>
      <c r="C113" s="683" t="s">
        <v>308</v>
      </c>
      <c r="D113" s="699" t="s">
        <v>1083</v>
      </c>
      <c r="E113" s="682" t="s">
        <v>1029</v>
      </c>
      <c r="F113" s="701">
        <v>20000</v>
      </c>
      <c r="G113" s="690" t="s">
        <v>885</v>
      </c>
      <c r="H113" s="702" t="s">
        <v>1021</v>
      </c>
      <c r="I113" s="703">
        <v>39289</v>
      </c>
      <c r="J113" s="704">
        <v>0</v>
      </c>
      <c r="K113" s="690" t="s">
        <v>885</v>
      </c>
      <c r="L113" s="705"/>
      <c r="M113" s="698">
        <v>0</v>
      </c>
      <c r="N113" s="690" t="s">
        <v>885</v>
      </c>
      <c r="O113" s="704">
        <f t="shared" si="28"/>
        <v>1192.5</v>
      </c>
      <c r="P113" s="690" t="s">
        <v>885</v>
      </c>
      <c r="Q113" s="704">
        <f>(F113-O113)+$C$4</f>
        <v>20000</v>
      </c>
      <c r="R113" s="690" t="s">
        <v>885</v>
      </c>
      <c r="S113" s="704">
        <f t="shared" si="29"/>
        <v>18807.5</v>
      </c>
      <c r="T113" s="690" t="s">
        <v>885</v>
      </c>
      <c r="U113" s="309" t="str">
        <f>IF(S:S&lt;=50,"ALERTA","")</f>
        <v/>
      </c>
    </row>
    <row r="114" spans="1:21" ht="30.2" customHeight="1" x14ac:dyDescent="0.2">
      <c r="A114" s="684"/>
      <c r="B114" s="683" t="s">
        <v>1031</v>
      </c>
      <c r="C114" s="683" t="s">
        <v>1032</v>
      </c>
      <c r="D114" s="699" t="s">
        <v>1084</v>
      </c>
      <c r="E114" s="682" t="s">
        <v>1029</v>
      </c>
      <c r="F114" s="701">
        <v>20000</v>
      </c>
      <c r="G114" s="690" t="s">
        <v>885</v>
      </c>
      <c r="H114" s="702" t="s">
        <v>1021</v>
      </c>
      <c r="I114" s="703">
        <v>39289</v>
      </c>
      <c r="J114" s="704">
        <v>0</v>
      </c>
      <c r="K114" s="690" t="s">
        <v>885</v>
      </c>
      <c r="L114" s="705"/>
      <c r="M114" s="698">
        <v>0</v>
      </c>
      <c r="N114" s="690" t="s">
        <v>885</v>
      </c>
      <c r="O114" s="704">
        <f t="shared" si="28"/>
        <v>1192.5</v>
      </c>
      <c r="P114" s="690" t="s">
        <v>885</v>
      </c>
      <c r="Q114" s="704">
        <f>(F114-O114)+$C$4</f>
        <v>20000</v>
      </c>
      <c r="R114" s="690" t="s">
        <v>885</v>
      </c>
      <c r="S114" s="704">
        <f t="shared" si="29"/>
        <v>18807.5</v>
      </c>
      <c r="T114" s="690" t="s">
        <v>885</v>
      </c>
    </row>
    <row r="115" spans="1:21" ht="20.100000000000001" customHeight="1" x14ac:dyDescent="0.2">
      <c r="A115" s="1683"/>
      <c r="B115" s="1642" t="s">
        <v>185</v>
      </c>
      <c r="C115" s="1634" t="s">
        <v>1085</v>
      </c>
      <c r="D115" s="1634" t="s">
        <v>1086</v>
      </c>
      <c r="E115" s="1635" t="s">
        <v>980</v>
      </c>
      <c r="F115" s="770">
        <v>3000</v>
      </c>
      <c r="G115" s="693" t="s">
        <v>885</v>
      </c>
      <c r="H115" s="1640" t="s">
        <v>0</v>
      </c>
      <c r="I115" s="1611">
        <v>39213</v>
      </c>
      <c r="J115" s="1613">
        <v>0</v>
      </c>
      <c r="K115" s="1665" t="s">
        <v>885</v>
      </c>
      <c r="L115" s="705"/>
      <c r="M115" s="1617">
        <v>0</v>
      </c>
      <c r="N115" s="1665" t="s">
        <v>885</v>
      </c>
      <c r="O115" s="1613">
        <f t="shared" si="28"/>
        <v>1192.5</v>
      </c>
      <c r="P115" s="1615" t="s">
        <v>885</v>
      </c>
      <c r="Q115" s="730">
        <f>F115+J115-M115</f>
        <v>3000</v>
      </c>
      <c r="R115" s="691" t="s">
        <v>885</v>
      </c>
      <c r="S115" s="730">
        <f t="shared" si="29"/>
        <v>1807.5</v>
      </c>
      <c r="T115" s="691" t="s">
        <v>885</v>
      </c>
      <c r="U115" s="309" t="str">
        <f t="shared" ref="U115:U121" si="30">IF(S:S&lt;=50,"ALERTA","")</f>
        <v/>
      </c>
    </row>
    <row r="116" spans="1:21" ht="20.100000000000001" customHeight="1" x14ac:dyDescent="0.2">
      <c r="A116" s="1683"/>
      <c r="B116" s="1620"/>
      <c r="C116" s="1622"/>
      <c r="D116" s="1622"/>
      <c r="E116" s="1639"/>
      <c r="F116" s="773">
        <v>288</v>
      </c>
      <c r="G116" s="694" t="s">
        <v>880</v>
      </c>
      <c r="H116" s="1641"/>
      <c r="I116" s="1612"/>
      <c r="J116" s="1614"/>
      <c r="K116" s="1666"/>
      <c r="L116" s="705"/>
      <c r="M116" s="1618"/>
      <c r="N116" s="1666"/>
      <c r="O116" s="1614"/>
      <c r="P116" s="1616"/>
      <c r="Q116" s="720">
        <f>I115+(365*24)</f>
        <v>47973</v>
      </c>
      <c r="R116" s="692"/>
      <c r="S116" s="710">
        <f>Q116-$S$1</f>
        <v>6524</v>
      </c>
      <c r="T116" s="692" t="s">
        <v>906</v>
      </c>
      <c r="U116" s="309" t="str">
        <f t="shared" si="30"/>
        <v/>
      </c>
    </row>
    <row r="117" spans="1:21" ht="30.2" customHeight="1" x14ac:dyDescent="0.2">
      <c r="A117" s="684"/>
      <c r="B117" s="830" t="s">
        <v>203</v>
      </c>
      <c r="C117" s="739" t="s">
        <v>309</v>
      </c>
      <c r="D117" s="739" t="s">
        <v>1087</v>
      </c>
      <c r="E117" s="682" t="s">
        <v>980</v>
      </c>
      <c r="F117" s="701">
        <v>20000</v>
      </c>
      <c r="G117" s="690" t="s">
        <v>885</v>
      </c>
      <c r="H117" s="702" t="s">
        <v>1021</v>
      </c>
      <c r="I117" s="703">
        <v>39289</v>
      </c>
      <c r="J117" s="704">
        <v>0</v>
      </c>
      <c r="K117" s="690" t="s">
        <v>885</v>
      </c>
      <c r="L117" s="705"/>
      <c r="M117" s="698">
        <v>0</v>
      </c>
      <c r="N117" s="690" t="s">
        <v>885</v>
      </c>
      <c r="O117" s="704">
        <f t="shared" ref="O117:O125" si="31">M117+($C$4-J117)</f>
        <v>1192.5</v>
      </c>
      <c r="P117" s="690" t="s">
        <v>885</v>
      </c>
      <c r="Q117" s="704">
        <f>(F117-O117)+$C$4</f>
        <v>20000</v>
      </c>
      <c r="R117" s="690" t="s">
        <v>885</v>
      </c>
      <c r="S117" s="704">
        <f t="shared" ref="S117:S125" si="32">Q117-$C$4</f>
        <v>18807.5</v>
      </c>
      <c r="T117" s="690" t="s">
        <v>885</v>
      </c>
      <c r="U117" s="309" t="str">
        <f t="shared" si="30"/>
        <v/>
      </c>
    </row>
    <row r="118" spans="1:21" ht="30.2" customHeight="1" x14ac:dyDescent="0.2">
      <c r="A118" s="684"/>
      <c r="B118" s="830" t="s">
        <v>203</v>
      </c>
      <c r="C118" s="739" t="s">
        <v>309</v>
      </c>
      <c r="D118" s="739" t="s">
        <v>1088</v>
      </c>
      <c r="E118" s="682" t="s">
        <v>980</v>
      </c>
      <c r="F118" s="701">
        <v>20000</v>
      </c>
      <c r="G118" s="690" t="s">
        <v>885</v>
      </c>
      <c r="H118" s="702" t="s">
        <v>1021</v>
      </c>
      <c r="I118" s="703">
        <v>39289</v>
      </c>
      <c r="J118" s="704">
        <v>0</v>
      </c>
      <c r="K118" s="690" t="s">
        <v>885</v>
      </c>
      <c r="L118" s="705"/>
      <c r="M118" s="698">
        <v>0</v>
      </c>
      <c r="N118" s="690" t="s">
        <v>885</v>
      </c>
      <c r="O118" s="704">
        <f t="shared" si="31"/>
        <v>1192.5</v>
      </c>
      <c r="P118" s="690" t="s">
        <v>885</v>
      </c>
      <c r="Q118" s="704">
        <f>(F118-O118)+$C$4</f>
        <v>20000</v>
      </c>
      <c r="R118" s="690" t="s">
        <v>885</v>
      </c>
      <c r="S118" s="704">
        <f t="shared" si="32"/>
        <v>18807.5</v>
      </c>
      <c r="T118" s="690" t="s">
        <v>885</v>
      </c>
      <c r="U118" s="309" t="str">
        <f t="shared" si="30"/>
        <v/>
      </c>
    </row>
    <row r="119" spans="1:21" ht="30.2" customHeight="1" x14ac:dyDescent="0.2">
      <c r="A119" s="684"/>
      <c r="B119" s="830" t="s">
        <v>203</v>
      </c>
      <c r="C119" s="739" t="s">
        <v>309</v>
      </c>
      <c r="D119" s="739" t="s">
        <v>1089</v>
      </c>
      <c r="E119" s="682" t="s">
        <v>980</v>
      </c>
      <c r="F119" s="701">
        <v>20000</v>
      </c>
      <c r="G119" s="690" t="s">
        <v>885</v>
      </c>
      <c r="H119" s="702" t="s">
        <v>1021</v>
      </c>
      <c r="I119" s="703">
        <v>39289</v>
      </c>
      <c r="J119" s="704">
        <v>0</v>
      </c>
      <c r="K119" s="690" t="s">
        <v>885</v>
      </c>
      <c r="L119" s="705"/>
      <c r="M119" s="698">
        <v>0</v>
      </c>
      <c r="N119" s="690" t="s">
        <v>885</v>
      </c>
      <c r="O119" s="704">
        <f t="shared" si="31"/>
        <v>1192.5</v>
      </c>
      <c r="P119" s="690" t="s">
        <v>885</v>
      </c>
      <c r="Q119" s="704">
        <f>(F119-O119)+$C$4</f>
        <v>20000</v>
      </c>
      <c r="R119" s="690" t="s">
        <v>885</v>
      </c>
      <c r="S119" s="704">
        <f t="shared" si="32"/>
        <v>18807.5</v>
      </c>
      <c r="T119" s="690" t="s">
        <v>885</v>
      </c>
      <c r="U119" s="309" t="str">
        <f t="shared" si="30"/>
        <v/>
      </c>
    </row>
    <row r="120" spans="1:21" ht="30.2" customHeight="1" x14ac:dyDescent="0.2">
      <c r="A120" s="684"/>
      <c r="B120" s="830" t="s">
        <v>203</v>
      </c>
      <c r="C120" s="739" t="s">
        <v>309</v>
      </c>
      <c r="D120" s="739" t="s">
        <v>1090</v>
      </c>
      <c r="E120" s="682" t="s">
        <v>980</v>
      </c>
      <c r="F120" s="701">
        <v>20000</v>
      </c>
      <c r="G120" s="690" t="s">
        <v>885</v>
      </c>
      <c r="H120" s="702" t="s">
        <v>1021</v>
      </c>
      <c r="I120" s="703">
        <v>39289</v>
      </c>
      <c r="J120" s="704">
        <v>0</v>
      </c>
      <c r="K120" s="690" t="s">
        <v>885</v>
      </c>
      <c r="L120" s="705"/>
      <c r="M120" s="698">
        <v>0</v>
      </c>
      <c r="N120" s="690" t="s">
        <v>885</v>
      </c>
      <c r="O120" s="704">
        <f t="shared" si="31"/>
        <v>1192.5</v>
      </c>
      <c r="P120" s="690" t="s">
        <v>885</v>
      </c>
      <c r="Q120" s="704">
        <f>(F120-O120)+$C$4</f>
        <v>20000</v>
      </c>
      <c r="R120" s="690" t="s">
        <v>885</v>
      </c>
      <c r="S120" s="704">
        <f t="shared" si="32"/>
        <v>18807.5</v>
      </c>
      <c r="T120" s="690" t="s">
        <v>885</v>
      </c>
      <c r="U120" s="309" t="str">
        <f t="shared" si="30"/>
        <v/>
      </c>
    </row>
    <row r="121" spans="1:21" ht="30.2" customHeight="1" x14ac:dyDescent="0.2">
      <c r="A121" s="684"/>
      <c r="B121" s="830" t="s">
        <v>203</v>
      </c>
      <c r="C121" s="739" t="s">
        <v>309</v>
      </c>
      <c r="D121" s="739" t="s">
        <v>1091</v>
      </c>
      <c r="E121" s="682" t="s">
        <v>980</v>
      </c>
      <c r="F121" s="701">
        <v>20000</v>
      </c>
      <c r="G121" s="690" t="s">
        <v>885</v>
      </c>
      <c r="H121" s="702" t="s">
        <v>1021</v>
      </c>
      <c r="I121" s="703">
        <v>39289</v>
      </c>
      <c r="J121" s="704">
        <v>0</v>
      </c>
      <c r="K121" s="690" t="s">
        <v>885</v>
      </c>
      <c r="L121" s="705"/>
      <c r="M121" s="698">
        <v>0</v>
      </c>
      <c r="N121" s="690" t="s">
        <v>885</v>
      </c>
      <c r="O121" s="704">
        <f t="shared" si="31"/>
        <v>1192.5</v>
      </c>
      <c r="P121" s="690" t="s">
        <v>885</v>
      </c>
      <c r="Q121" s="704">
        <f>(F121-O121)+$C$4</f>
        <v>20000</v>
      </c>
      <c r="R121" s="690" t="s">
        <v>885</v>
      </c>
      <c r="S121" s="704">
        <f t="shared" si="32"/>
        <v>18807.5</v>
      </c>
      <c r="T121" s="690" t="s">
        <v>885</v>
      </c>
      <c r="U121" s="309" t="str">
        <f t="shared" si="30"/>
        <v/>
      </c>
    </row>
    <row r="122" spans="1:21" ht="30.2" customHeight="1" x14ac:dyDescent="0.2">
      <c r="A122" s="684"/>
      <c r="B122" s="830" t="s">
        <v>1093</v>
      </c>
      <c r="C122" s="739" t="s">
        <v>1094</v>
      </c>
      <c r="D122" s="739" t="s">
        <v>1095</v>
      </c>
      <c r="E122" s="682" t="s">
        <v>980</v>
      </c>
      <c r="F122" s="701">
        <v>20000</v>
      </c>
      <c r="G122" s="690" t="s">
        <v>885</v>
      </c>
      <c r="H122" s="702" t="s">
        <v>1021</v>
      </c>
      <c r="I122" s="703">
        <v>39289</v>
      </c>
      <c r="J122" s="704">
        <v>0</v>
      </c>
      <c r="K122" s="690" t="s">
        <v>885</v>
      </c>
      <c r="L122" s="705"/>
      <c r="M122" s="698">
        <v>0</v>
      </c>
      <c r="N122" s="690" t="s">
        <v>885</v>
      </c>
      <c r="O122" s="704">
        <f t="shared" ref="O122:O123" si="33">M122+($C$4-J122)</f>
        <v>1192.5</v>
      </c>
      <c r="P122" s="690" t="s">
        <v>885</v>
      </c>
      <c r="Q122" s="704">
        <f t="shared" ref="Q122:Q123" si="34">(F122-O122)+$C$4</f>
        <v>20000</v>
      </c>
      <c r="R122" s="690" t="s">
        <v>885</v>
      </c>
      <c r="S122" s="704">
        <f t="shared" ref="S122:S123" si="35">Q122-$C$4</f>
        <v>18807.5</v>
      </c>
      <c r="T122" s="690" t="s">
        <v>885</v>
      </c>
    </row>
    <row r="123" spans="1:21" ht="30.2" customHeight="1" x14ac:dyDescent="0.2">
      <c r="A123" s="684"/>
      <c r="B123" s="830" t="s">
        <v>1096</v>
      </c>
      <c r="C123" s="739" t="s">
        <v>1097</v>
      </c>
      <c r="D123" s="739" t="s">
        <v>1098</v>
      </c>
      <c r="E123" s="682" t="s">
        <v>980</v>
      </c>
      <c r="F123" s="701">
        <v>20000</v>
      </c>
      <c r="G123" s="690" t="s">
        <v>885</v>
      </c>
      <c r="H123" s="702" t="s">
        <v>1021</v>
      </c>
      <c r="I123" s="703">
        <v>39289</v>
      </c>
      <c r="J123" s="704">
        <v>0</v>
      </c>
      <c r="K123" s="690" t="s">
        <v>885</v>
      </c>
      <c r="L123" s="705"/>
      <c r="M123" s="698">
        <v>0</v>
      </c>
      <c r="N123" s="690" t="s">
        <v>885</v>
      </c>
      <c r="O123" s="704">
        <f t="shared" si="33"/>
        <v>1192.5</v>
      </c>
      <c r="P123" s="690" t="s">
        <v>885</v>
      </c>
      <c r="Q123" s="704">
        <f t="shared" si="34"/>
        <v>20000</v>
      </c>
      <c r="R123" s="690" t="s">
        <v>885</v>
      </c>
      <c r="S123" s="704">
        <f t="shared" si="35"/>
        <v>18807.5</v>
      </c>
      <c r="T123" s="690" t="s">
        <v>885</v>
      </c>
    </row>
    <row r="124" spans="1:21" ht="30.2" customHeight="1" x14ac:dyDescent="0.2">
      <c r="A124" s="684"/>
      <c r="B124" s="830" t="s">
        <v>1037</v>
      </c>
      <c r="C124" s="739" t="s">
        <v>18</v>
      </c>
      <c r="D124" s="739" t="s">
        <v>1092</v>
      </c>
      <c r="E124" s="682" t="s">
        <v>980</v>
      </c>
      <c r="F124" s="774">
        <v>49000</v>
      </c>
      <c r="G124" s="750" t="s">
        <v>963</v>
      </c>
      <c r="H124" s="705" t="s">
        <v>1021</v>
      </c>
      <c r="I124" s="703">
        <v>39289</v>
      </c>
      <c r="J124" s="704">
        <v>0</v>
      </c>
      <c r="K124" s="750" t="s">
        <v>963</v>
      </c>
      <c r="L124" s="705"/>
      <c r="M124" s="698">
        <v>0</v>
      </c>
      <c r="N124" s="750" t="s">
        <v>963</v>
      </c>
      <c r="O124" s="704">
        <f>M124+($C$5-J124)</f>
        <v>3532</v>
      </c>
      <c r="P124" s="750" t="s">
        <v>963</v>
      </c>
      <c r="Q124" s="704">
        <f>(F124-O124)+$C$5</f>
        <v>49000</v>
      </c>
      <c r="R124" s="750" t="s">
        <v>963</v>
      </c>
      <c r="S124" s="704">
        <f>Q124-C5</f>
        <v>45468</v>
      </c>
      <c r="T124" s="750" t="s">
        <v>963</v>
      </c>
    </row>
    <row r="125" spans="1:21" ht="20.100000000000001" customHeight="1" x14ac:dyDescent="0.2">
      <c r="A125" s="1683"/>
      <c r="B125" s="1642" t="s">
        <v>1099</v>
      </c>
      <c r="C125" s="1634" t="s">
        <v>1100</v>
      </c>
      <c r="D125" s="1634" t="s">
        <v>1101</v>
      </c>
      <c r="E125" s="1635" t="s">
        <v>980</v>
      </c>
      <c r="F125" s="707">
        <v>2500</v>
      </c>
      <c r="G125" s="691" t="s">
        <v>885</v>
      </c>
      <c r="H125" s="1637" t="s">
        <v>0</v>
      </c>
      <c r="I125" s="1611">
        <v>39216</v>
      </c>
      <c r="J125" s="1613">
        <v>0</v>
      </c>
      <c r="K125" s="1615" t="s">
        <v>885</v>
      </c>
      <c r="L125" s="705"/>
      <c r="M125" s="1617">
        <v>0</v>
      </c>
      <c r="N125" s="1615" t="s">
        <v>885</v>
      </c>
      <c r="O125" s="1613">
        <f t="shared" si="31"/>
        <v>1192.5</v>
      </c>
      <c r="P125" s="1615" t="s">
        <v>885</v>
      </c>
      <c r="Q125" s="730">
        <f>F125+J125-M125</f>
        <v>2500</v>
      </c>
      <c r="R125" s="691" t="s">
        <v>885</v>
      </c>
      <c r="S125" s="730">
        <f t="shared" si="32"/>
        <v>1307.5</v>
      </c>
      <c r="T125" s="691" t="s">
        <v>885</v>
      </c>
      <c r="U125" s="309" t="str">
        <f>IF(S:S&lt;=50,"ALERTA","")</f>
        <v/>
      </c>
    </row>
    <row r="126" spans="1:21" ht="20.100000000000001" customHeight="1" x14ac:dyDescent="0.2">
      <c r="A126" s="1683"/>
      <c r="B126" s="1620"/>
      <c r="C126" s="1622"/>
      <c r="D126" s="1622"/>
      <c r="E126" s="1639"/>
      <c r="F126" s="710">
        <v>288</v>
      </c>
      <c r="G126" s="692" t="s">
        <v>880</v>
      </c>
      <c r="H126" s="1638"/>
      <c r="I126" s="1612"/>
      <c r="J126" s="1614"/>
      <c r="K126" s="1616"/>
      <c r="L126" s="705"/>
      <c r="M126" s="1618"/>
      <c r="N126" s="1616"/>
      <c r="O126" s="1614"/>
      <c r="P126" s="1616"/>
      <c r="Q126" s="720">
        <f>I125+(365*24)</f>
        <v>47976</v>
      </c>
      <c r="R126" s="692"/>
      <c r="S126" s="710">
        <f>Q126-$S$1</f>
        <v>6527</v>
      </c>
      <c r="T126" s="692" t="s">
        <v>906</v>
      </c>
      <c r="U126" s="309" t="str">
        <f>IF(S:S&lt;=50,"ALERTA","")</f>
        <v/>
      </c>
    </row>
    <row r="127" spans="1:21" ht="30.2" customHeight="1" x14ac:dyDescent="0.2">
      <c r="A127" s="684"/>
      <c r="B127" s="830" t="s">
        <v>310</v>
      </c>
      <c r="C127" s="739" t="s">
        <v>311</v>
      </c>
      <c r="D127" s="739" t="s">
        <v>1104</v>
      </c>
      <c r="E127" s="682" t="s">
        <v>980</v>
      </c>
      <c r="F127" s="701">
        <v>94800</v>
      </c>
      <c r="G127" s="690" t="s">
        <v>963</v>
      </c>
      <c r="H127" s="747" t="s">
        <v>1021</v>
      </c>
      <c r="I127" s="703">
        <v>39289</v>
      </c>
      <c r="J127" s="704">
        <v>0</v>
      </c>
      <c r="K127" s="690" t="s">
        <v>963</v>
      </c>
      <c r="L127" s="705"/>
      <c r="M127" s="698">
        <v>0</v>
      </c>
      <c r="N127" s="690" t="s">
        <v>963</v>
      </c>
      <c r="O127" s="704">
        <f>M127+($C$5-J127)</f>
        <v>3532</v>
      </c>
      <c r="P127" s="690" t="s">
        <v>963</v>
      </c>
      <c r="Q127" s="704">
        <f>(F127-O127)+$C$5</f>
        <v>94800</v>
      </c>
      <c r="R127" s="690" t="s">
        <v>963</v>
      </c>
      <c r="S127" s="704">
        <f>Q127-$C$5</f>
        <v>91268</v>
      </c>
      <c r="T127" s="690" t="s">
        <v>963</v>
      </c>
      <c r="U127" s="309" t="str">
        <f>IF(S:S&lt;=50,"ALERTA","")</f>
        <v/>
      </c>
    </row>
    <row r="128" spans="1:21" ht="30.2" customHeight="1" x14ac:dyDescent="0.2">
      <c r="A128" s="684"/>
      <c r="B128" s="830" t="s">
        <v>310</v>
      </c>
      <c r="C128" s="739" t="s">
        <v>311</v>
      </c>
      <c r="D128" s="739" t="s">
        <v>1105</v>
      </c>
      <c r="E128" s="682" t="s">
        <v>980</v>
      </c>
      <c r="F128" s="701">
        <v>94800</v>
      </c>
      <c r="G128" s="690" t="s">
        <v>963</v>
      </c>
      <c r="H128" s="747" t="s">
        <v>1021</v>
      </c>
      <c r="I128" s="703">
        <v>39289</v>
      </c>
      <c r="J128" s="704">
        <v>0</v>
      </c>
      <c r="K128" s="690" t="s">
        <v>963</v>
      </c>
      <c r="L128" s="705"/>
      <c r="M128" s="698">
        <v>0</v>
      </c>
      <c r="N128" s="690" t="s">
        <v>963</v>
      </c>
      <c r="O128" s="704">
        <f>M128+($C$5-J128)</f>
        <v>3532</v>
      </c>
      <c r="P128" s="690" t="s">
        <v>963</v>
      </c>
      <c r="Q128" s="704">
        <f>(F128-O128)+$C$5</f>
        <v>94800</v>
      </c>
      <c r="R128" s="690" t="s">
        <v>963</v>
      </c>
      <c r="S128" s="704">
        <f>Q128-$C$5</f>
        <v>91268</v>
      </c>
      <c r="T128" s="690" t="s">
        <v>963</v>
      </c>
      <c r="U128" s="309" t="str">
        <f>IF(S:S&lt;=50,"ALERTA","")</f>
        <v/>
      </c>
    </row>
    <row r="129" spans="1:21" ht="30.2" customHeight="1" x14ac:dyDescent="0.2">
      <c r="A129" s="684"/>
      <c r="B129" s="982" t="s">
        <v>1033</v>
      </c>
      <c r="C129" s="736" t="s">
        <v>1035</v>
      </c>
      <c r="D129" s="736" t="s">
        <v>1106</v>
      </c>
      <c r="E129" s="682" t="s">
        <v>980</v>
      </c>
      <c r="F129" s="707">
        <v>70800</v>
      </c>
      <c r="G129" s="691" t="s">
        <v>963</v>
      </c>
      <c r="H129" s="748" t="s">
        <v>1021</v>
      </c>
      <c r="I129" s="703">
        <v>39289</v>
      </c>
      <c r="J129" s="704">
        <v>0</v>
      </c>
      <c r="K129" s="690" t="s">
        <v>963</v>
      </c>
      <c r="L129" s="705"/>
      <c r="M129" s="698">
        <v>0</v>
      </c>
      <c r="N129" s="690" t="s">
        <v>963</v>
      </c>
      <c r="O129" s="704">
        <f t="shared" ref="O129:O131" si="36">M129+($C$5-J129)</f>
        <v>3532</v>
      </c>
      <c r="P129" s="690" t="s">
        <v>963</v>
      </c>
      <c r="Q129" s="704">
        <f>(F129-O129)+$C$5</f>
        <v>70800</v>
      </c>
      <c r="R129" s="690" t="s">
        <v>963</v>
      </c>
      <c r="S129" s="704">
        <f>Q129-$C$5</f>
        <v>67268</v>
      </c>
      <c r="T129" s="690" t="s">
        <v>963</v>
      </c>
    </row>
    <row r="130" spans="1:21" ht="30.2" customHeight="1" x14ac:dyDescent="0.2">
      <c r="A130" s="684"/>
      <c r="B130" s="830" t="s">
        <v>1033</v>
      </c>
      <c r="C130" s="739" t="s">
        <v>1035</v>
      </c>
      <c r="D130" s="739" t="s">
        <v>1054</v>
      </c>
      <c r="E130" s="682" t="s">
        <v>980</v>
      </c>
      <c r="F130" s="701">
        <v>70800</v>
      </c>
      <c r="G130" s="690" t="s">
        <v>963</v>
      </c>
      <c r="H130" s="747" t="s">
        <v>1021</v>
      </c>
      <c r="I130" s="703">
        <v>39289</v>
      </c>
      <c r="J130" s="704">
        <v>0</v>
      </c>
      <c r="K130" s="690" t="s">
        <v>963</v>
      </c>
      <c r="L130" s="705"/>
      <c r="M130" s="698">
        <v>0</v>
      </c>
      <c r="N130" s="690" t="s">
        <v>963</v>
      </c>
      <c r="O130" s="704">
        <f t="shared" ref="O130" si="37">M130+($C$5-J130)</f>
        <v>3532</v>
      </c>
      <c r="P130" s="690" t="s">
        <v>963</v>
      </c>
      <c r="Q130" s="704">
        <f>(F130-O130)+$C$5</f>
        <v>70800</v>
      </c>
      <c r="R130" s="690" t="s">
        <v>963</v>
      </c>
      <c r="S130" s="704">
        <f>Q130-$C$5</f>
        <v>67268</v>
      </c>
      <c r="T130" s="690" t="s">
        <v>963</v>
      </c>
    </row>
    <row r="131" spans="1:21" ht="30.2" customHeight="1" x14ac:dyDescent="0.2">
      <c r="A131" s="684"/>
      <c r="B131" s="982" t="s">
        <v>1034</v>
      </c>
      <c r="C131" s="736" t="s">
        <v>1036</v>
      </c>
      <c r="D131" s="736" t="s">
        <v>1102</v>
      </c>
      <c r="E131" s="682" t="s">
        <v>980</v>
      </c>
      <c r="F131" s="707">
        <v>50500</v>
      </c>
      <c r="G131" s="691" t="s">
        <v>963</v>
      </c>
      <c r="H131" s="748" t="s">
        <v>1021</v>
      </c>
      <c r="I131" s="703">
        <v>39289</v>
      </c>
      <c r="J131" s="704">
        <v>0</v>
      </c>
      <c r="K131" s="690" t="s">
        <v>963</v>
      </c>
      <c r="L131" s="705"/>
      <c r="M131" s="698">
        <v>0</v>
      </c>
      <c r="N131" s="690" t="s">
        <v>963</v>
      </c>
      <c r="O131" s="704">
        <f t="shared" si="36"/>
        <v>3532</v>
      </c>
      <c r="P131" s="690" t="s">
        <v>963</v>
      </c>
      <c r="Q131" s="704">
        <f t="shared" ref="Q131" si="38">(F131-O131)+$C$5</f>
        <v>50500</v>
      </c>
      <c r="R131" s="690" t="s">
        <v>963</v>
      </c>
      <c r="S131" s="704">
        <f t="shared" ref="S131" si="39">Q131-$C$5</f>
        <v>46968</v>
      </c>
      <c r="T131" s="690" t="s">
        <v>963</v>
      </c>
    </row>
    <row r="132" spans="1:21" ht="30.2" customHeight="1" x14ac:dyDescent="0.2">
      <c r="A132" s="684"/>
      <c r="B132" s="982" t="s">
        <v>1034</v>
      </c>
      <c r="C132" s="736" t="s">
        <v>1036</v>
      </c>
      <c r="D132" s="736" t="s">
        <v>1103</v>
      </c>
      <c r="E132" s="682" t="s">
        <v>980</v>
      </c>
      <c r="F132" s="707">
        <v>50500</v>
      </c>
      <c r="G132" s="691" t="s">
        <v>963</v>
      </c>
      <c r="H132" s="748" t="s">
        <v>1021</v>
      </c>
      <c r="I132" s="703">
        <v>39289</v>
      </c>
      <c r="J132" s="704">
        <v>0</v>
      </c>
      <c r="K132" s="690" t="s">
        <v>963</v>
      </c>
      <c r="L132" s="705"/>
      <c r="M132" s="698">
        <v>0</v>
      </c>
      <c r="N132" s="690" t="s">
        <v>963</v>
      </c>
      <c r="O132" s="704">
        <f t="shared" ref="O132" si="40">M132+($C$5-J132)</f>
        <v>3532</v>
      </c>
      <c r="P132" s="690" t="s">
        <v>963</v>
      </c>
      <c r="Q132" s="704">
        <f t="shared" ref="Q132" si="41">(F132-O132)+$C$5</f>
        <v>50500</v>
      </c>
      <c r="R132" s="690" t="s">
        <v>963</v>
      </c>
      <c r="S132" s="704">
        <f t="shared" ref="S132" si="42">Q132-$C$5</f>
        <v>46968</v>
      </c>
      <c r="T132" s="690" t="s">
        <v>963</v>
      </c>
    </row>
    <row r="133" spans="1:21" s="613" customFormat="1" x14ac:dyDescent="0.2">
      <c r="A133" s="1683"/>
      <c r="B133" s="1642" t="s">
        <v>1011</v>
      </c>
      <c r="C133" s="1691" t="s">
        <v>1012</v>
      </c>
      <c r="D133" s="1691" t="s">
        <v>1084</v>
      </c>
      <c r="E133" s="1695" t="s">
        <v>980</v>
      </c>
      <c r="F133" s="707">
        <v>600</v>
      </c>
      <c r="G133" s="1161" t="s">
        <v>885</v>
      </c>
      <c r="H133" s="1637" t="s">
        <v>987</v>
      </c>
      <c r="I133" s="1611">
        <v>41418</v>
      </c>
      <c r="J133" s="1613">
        <v>1171.2</v>
      </c>
      <c r="K133" s="1615" t="s">
        <v>885</v>
      </c>
      <c r="L133" s="705"/>
      <c r="M133" s="1617">
        <v>0</v>
      </c>
      <c r="N133" s="1615" t="s">
        <v>885</v>
      </c>
      <c r="O133" s="1613">
        <f>M133+($C$4-J133)</f>
        <v>21.299999999999955</v>
      </c>
      <c r="P133" s="1615" t="s">
        <v>885</v>
      </c>
      <c r="Q133" s="1163">
        <f>(F133-O133)+$C$4</f>
        <v>1771.2</v>
      </c>
      <c r="R133" s="1161" t="s">
        <v>885</v>
      </c>
      <c r="S133" s="1163">
        <f>Q133-$C$4</f>
        <v>578.70000000000005</v>
      </c>
      <c r="T133" s="1161" t="s">
        <v>885</v>
      </c>
      <c r="U133" s="309" t="str">
        <f>IF(S:S&lt;=50,"ALERTA","")</f>
        <v/>
      </c>
    </row>
    <row r="134" spans="1:21" s="613" customFormat="1" ht="20.100000000000001" customHeight="1" x14ac:dyDescent="0.2">
      <c r="A134" s="1683"/>
      <c r="B134" s="1684"/>
      <c r="C134" s="1701"/>
      <c r="D134" s="1701"/>
      <c r="E134" s="1702"/>
      <c r="F134" s="710">
        <v>24</v>
      </c>
      <c r="G134" s="1162" t="s">
        <v>880</v>
      </c>
      <c r="H134" s="1638"/>
      <c r="I134" s="1612"/>
      <c r="J134" s="1614"/>
      <c r="K134" s="1616"/>
      <c r="L134" s="705"/>
      <c r="M134" s="1618"/>
      <c r="N134" s="1616"/>
      <c r="O134" s="1614"/>
      <c r="P134" s="1616"/>
      <c r="Q134" s="720">
        <f>I133+(365*2)</f>
        <v>42148</v>
      </c>
      <c r="R134" s="1162"/>
      <c r="S134" s="710">
        <f>Q134-$S$1</f>
        <v>699</v>
      </c>
      <c r="T134" s="1162" t="s">
        <v>906</v>
      </c>
      <c r="U134" s="309" t="str">
        <f>IF(S:S&lt;=50,"ALERTA","")</f>
        <v/>
      </c>
    </row>
    <row r="135" spans="1:21" ht="20.100000000000001" customHeight="1" x14ac:dyDescent="0.2">
      <c r="A135" s="1683"/>
      <c r="B135" s="1642" t="s">
        <v>184</v>
      </c>
      <c r="C135" s="1634" t="s">
        <v>1107</v>
      </c>
      <c r="D135" s="1634" t="s">
        <v>1108</v>
      </c>
      <c r="E135" s="1635" t="s">
        <v>980</v>
      </c>
      <c r="F135" s="707">
        <v>2500</v>
      </c>
      <c r="G135" s="691" t="s">
        <v>885</v>
      </c>
      <c r="H135" s="1637" t="s">
        <v>0</v>
      </c>
      <c r="I135" s="1611">
        <v>39213</v>
      </c>
      <c r="J135" s="1613">
        <v>0</v>
      </c>
      <c r="K135" s="1615" t="s">
        <v>885</v>
      </c>
      <c r="L135" s="705"/>
      <c r="M135" s="1617">
        <v>0</v>
      </c>
      <c r="N135" s="1615" t="s">
        <v>885</v>
      </c>
      <c r="O135" s="1613">
        <f>M135+($C$4-J135)</f>
        <v>1192.5</v>
      </c>
      <c r="P135" s="1615" t="s">
        <v>885</v>
      </c>
      <c r="Q135" s="730">
        <f>F135+J135-M135</f>
        <v>2500</v>
      </c>
      <c r="R135" s="691" t="s">
        <v>885</v>
      </c>
      <c r="S135" s="730">
        <f>Q135-$C$4</f>
        <v>1307.5</v>
      </c>
      <c r="T135" s="691" t="s">
        <v>885</v>
      </c>
      <c r="U135" s="309" t="str">
        <f>IF(S:S&lt;=50,"ALERTA","")</f>
        <v/>
      </c>
    </row>
    <row r="136" spans="1:21" ht="20.100000000000001" customHeight="1" x14ac:dyDescent="0.2">
      <c r="A136" s="1683"/>
      <c r="B136" s="1620"/>
      <c r="C136" s="1622"/>
      <c r="D136" s="1622"/>
      <c r="E136" s="1639"/>
      <c r="F136" s="710">
        <v>288</v>
      </c>
      <c r="G136" s="692" t="s">
        <v>200</v>
      </c>
      <c r="H136" s="1638"/>
      <c r="I136" s="1612"/>
      <c r="J136" s="1614"/>
      <c r="K136" s="1616"/>
      <c r="L136" s="705"/>
      <c r="M136" s="1618"/>
      <c r="N136" s="1616"/>
      <c r="O136" s="1614"/>
      <c r="P136" s="1616"/>
      <c r="Q136" s="720">
        <f>I135+(365*24)</f>
        <v>47973</v>
      </c>
      <c r="R136" s="692"/>
      <c r="S136" s="710">
        <f>Q136-$S$1</f>
        <v>6524</v>
      </c>
      <c r="T136" s="692" t="s">
        <v>906</v>
      </c>
      <c r="U136" s="309" t="str">
        <f>IF(S:S&lt;=50,"ALERTA","")</f>
        <v/>
      </c>
    </row>
    <row r="137" spans="1:21" ht="30" customHeight="1" x14ac:dyDescent="0.2">
      <c r="A137" s="684"/>
      <c r="B137" s="830" t="s">
        <v>1038</v>
      </c>
      <c r="C137" s="739" t="s">
        <v>1112</v>
      </c>
      <c r="D137" s="739" t="s">
        <v>1113</v>
      </c>
      <c r="E137" s="682" t="s">
        <v>980</v>
      </c>
      <c r="F137" s="701">
        <v>12800</v>
      </c>
      <c r="G137" s="690" t="s">
        <v>885</v>
      </c>
      <c r="H137" s="702" t="s">
        <v>1021</v>
      </c>
      <c r="I137" s="703">
        <v>39289</v>
      </c>
      <c r="J137" s="704">
        <v>0</v>
      </c>
      <c r="K137" s="690" t="s">
        <v>885</v>
      </c>
      <c r="L137" s="705"/>
      <c r="M137" s="698">
        <v>0</v>
      </c>
      <c r="N137" s="690" t="s">
        <v>885</v>
      </c>
      <c r="O137" s="704">
        <f t="shared" ref="O137:O142" si="43">M137+($C$4-J137)</f>
        <v>1192.5</v>
      </c>
      <c r="P137" s="690" t="s">
        <v>885</v>
      </c>
      <c r="Q137" s="704">
        <f>(F137-O137)+$C$4</f>
        <v>12800</v>
      </c>
      <c r="R137" s="690" t="s">
        <v>885</v>
      </c>
      <c r="S137" s="704">
        <f t="shared" ref="S137:S142" si="44">Q137-$C$4</f>
        <v>11607.5</v>
      </c>
      <c r="T137" s="690" t="s">
        <v>885</v>
      </c>
    </row>
    <row r="138" spans="1:21" ht="30.2" customHeight="1" x14ac:dyDescent="0.2">
      <c r="A138" s="684"/>
      <c r="B138" s="830" t="s">
        <v>1114</v>
      </c>
      <c r="C138" s="739" t="s">
        <v>1115</v>
      </c>
      <c r="D138" s="751" t="s">
        <v>1116</v>
      </c>
      <c r="E138" s="682" t="s">
        <v>980</v>
      </c>
      <c r="F138" s="701">
        <v>10900</v>
      </c>
      <c r="G138" s="690" t="s">
        <v>885</v>
      </c>
      <c r="H138" s="702" t="s">
        <v>1021</v>
      </c>
      <c r="I138" s="703">
        <v>39289</v>
      </c>
      <c r="J138" s="704">
        <v>0</v>
      </c>
      <c r="K138" s="690" t="s">
        <v>885</v>
      </c>
      <c r="L138" s="705"/>
      <c r="M138" s="698">
        <v>0</v>
      </c>
      <c r="N138" s="690" t="s">
        <v>885</v>
      </c>
      <c r="O138" s="704">
        <f t="shared" si="43"/>
        <v>1192.5</v>
      </c>
      <c r="P138" s="690" t="s">
        <v>885</v>
      </c>
      <c r="Q138" s="704">
        <f>(F138-O138)+$C$4</f>
        <v>10900</v>
      </c>
      <c r="R138" s="690" t="s">
        <v>885</v>
      </c>
      <c r="S138" s="704">
        <f t="shared" si="44"/>
        <v>9707.5</v>
      </c>
      <c r="T138" s="690" t="s">
        <v>885</v>
      </c>
      <c r="U138" s="309" t="str">
        <f>IF(S:S&lt;=50,"ALERTA","")</f>
        <v/>
      </c>
    </row>
    <row r="139" spans="1:21" ht="30.2" customHeight="1" x14ac:dyDescent="0.2">
      <c r="A139" s="684"/>
      <c r="B139" s="830" t="s">
        <v>682</v>
      </c>
      <c r="C139" s="739" t="s">
        <v>1039</v>
      </c>
      <c r="D139" s="751" t="s">
        <v>1109</v>
      </c>
      <c r="E139" s="682" t="s">
        <v>980</v>
      </c>
      <c r="F139" s="701">
        <v>9100</v>
      </c>
      <c r="G139" s="690" t="s">
        <v>885</v>
      </c>
      <c r="H139" s="702" t="s">
        <v>1021</v>
      </c>
      <c r="I139" s="703">
        <v>39289</v>
      </c>
      <c r="J139" s="704">
        <v>0</v>
      </c>
      <c r="K139" s="690" t="s">
        <v>885</v>
      </c>
      <c r="L139" s="705"/>
      <c r="M139" s="698">
        <v>0</v>
      </c>
      <c r="N139" s="690" t="s">
        <v>885</v>
      </c>
      <c r="O139" s="704">
        <f t="shared" si="43"/>
        <v>1192.5</v>
      </c>
      <c r="P139" s="690" t="s">
        <v>885</v>
      </c>
      <c r="Q139" s="704">
        <f>(F139-O139)+$C$4</f>
        <v>9100</v>
      </c>
      <c r="R139" s="690" t="s">
        <v>885</v>
      </c>
      <c r="S139" s="704">
        <f t="shared" si="44"/>
        <v>7907.5</v>
      </c>
      <c r="T139" s="690" t="s">
        <v>885</v>
      </c>
      <c r="U139" s="309" t="str">
        <f>IF(S:S&lt;=50,"ALERTA","")</f>
        <v/>
      </c>
    </row>
    <row r="140" spans="1:21" ht="30.2" customHeight="1" x14ac:dyDescent="0.2">
      <c r="A140" s="684"/>
      <c r="B140" s="830" t="s">
        <v>1110</v>
      </c>
      <c r="C140" s="739" t="s">
        <v>1111</v>
      </c>
      <c r="D140" s="739">
        <v>2558</v>
      </c>
      <c r="E140" s="682" t="s">
        <v>980</v>
      </c>
      <c r="F140" s="701">
        <v>20000</v>
      </c>
      <c r="G140" s="690" t="s">
        <v>885</v>
      </c>
      <c r="H140" s="702" t="s">
        <v>1021</v>
      </c>
      <c r="I140" s="703">
        <v>39289</v>
      </c>
      <c r="J140" s="704">
        <v>0</v>
      </c>
      <c r="K140" s="690" t="s">
        <v>885</v>
      </c>
      <c r="L140" s="705"/>
      <c r="M140" s="698">
        <v>0</v>
      </c>
      <c r="N140" s="690" t="s">
        <v>885</v>
      </c>
      <c r="O140" s="704">
        <f t="shared" si="43"/>
        <v>1192.5</v>
      </c>
      <c r="P140" s="690" t="s">
        <v>885</v>
      </c>
      <c r="Q140" s="704">
        <f>(F140-O140)+$C$4</f>
        <v>20000</v>
      </c>
      <c r="R140" s="690" t="s">
        <v>885</v>
      </c>
      <c r="S140" s="704">
        <f t="shared" si="44"/>
        <v>18807.5</v>
      </c>
      <c r="T140" s="690" t="s">
        <v>885</v>
      </c>
    </row>
    <row r="141" spans="1:21" ht="30.2" customHeight="1" x14ac:dyDescent="0.2">
      <c r="A141" s="684"/>
      <c r="B141" s="830" t="s">
        <v>683</v>
      </c>
      <c r="C141" s="739" t="s">
        <v>1117</v>
      </c>
      <c r="D141" s="751" t="s">
        <v>1118</v>
      </c>
      <c r="E141" s="682" t="s">
        <v>980</v>
      </c>
      <c r="F141" s="701">
        <v>20000</v>
      </c>
      <c r="G141" s="690" t="s">
        <v>885</v>
      </c>
      <c r="H141" s="702" t="s">
        <v>1021</v>
      </c>
      <c r="I141" s="703">
        <v>39289</v>
      </c>
      <c r="J141" s="704">
        <v>0</v>
      </c>
      <c r="K141" s="690" t="s">
        <v>885</v>
      </c>
      <c r="L141" s="705"/>
      <c r="M141" s="698">
        <v>0</v>
      </c>
      <c r="N141" s="690" t="s">
        <v>885</v>
      </c>
      <c r="O141" s="704">
        <f t="shared" si="43"/>
        <v>1192.5</v>
      </c>
      <c r="P141" s="690" t="s">
        <v>885</v>
      </c>
      <c r="Q141" s="704">
        <f>(F141-O141)+$C$4</f>
        <v>20000</v>
      </c>
      <c r="R141" s="690" t="s">
        <v>885</v>
      </c>
      <c r="S141" s="704">
        <f t="shared" si="44"/>
        <v>18807.5</v>
      </c>
      <c r="T141" s="690" t="s">
        <v>885</v>
      </c>
      <c r="U141" s="309" t="str">
        <f t="shared" ref="U141:U148" si="45">IF(S:S&lt;=50,"ALERTA","")</f>
        <v/>
      </c>
    </row>
    <row r="142" spans="1:21" ht="20.100000000000001" customHeight="1" x14ac:dyDescent="0.2">
      <c r="A142" s="1683"/>
      <c r="B142" s="1642" t="s">
        <v>183</v>
      </c>
      <c r="C142" s="1634" t="s">
        <v>981</v>
      </c>
      <c r="D142" s="1634" t="s">
        <v>1119</v>
      </c>
      <c r="E142" s="1635" t="s">
        <v>980</v>
      </c>
      <c r="F142" s="707">
        <v>3000</v>
      </c>
      <c r="G142" s="691" t="s">
        <v>885</v>
      </c>
      <c r="H142" s="1637" t="s">
        <v>0</v>
      </c>
      <c r="I142" s="1611">
        <v>39213</v>
      </c>
      <c r="J142" s="1613">
        <v>0</v>
      </c>
      <c r="K142" s="1615" t="s">
        <v>885</v>
      </c>
      <c r="L142" s="705"/>
      <c r="M142" s="1617">
        <v>0</v>
      </c>
      <c r="N142" s="1615" t="s">
        <v>885</v>
      </c>
      <c r="O142" s="1613">
        <f t="shared" si="43"/>
        <v>1192.5</v>
      </c>
      <c r="P142" s="1615" t="s">
        <v>885</v>
      </c>
      <c r="Q142" s="730">
        <f>F142+J142-M142</f>
        <v>3000</v>
      </c>
      <c r="R142" s="691" t="s">
        <v>885</v>
      </c>
      <c r="S142" s="730">
        <f t="shared" si="44"/>
        <v>1807.5</v>
      </c>
      <c r="T142" s="691" t="s">
        <v>885</v>
      </c>
      <c r="U142" s="309" t="str">
        <f t="shared" si="45"/>
        <v/>
      </c>
    </row>
    <row r="143" spans="1:21" ht="20.100000000000001" customHeight="1" x14ac:dyDescent="0.2">
      <c r="A143" s="1683"/>
      <c r="B143" s="1620"/>
      <c r="C143" s="1622"/>
      <c r="D143" s="1622"/>
      <c r="E143" s="1639"/>
      <c r="F143" s="710">
        <v>288</v>
      </c>
      <c r="G143" s="692" t="s">
        <v>880</v>
      </c>
      <c r="H143" s="1638"/>
      <c r="I143" s="1612"/>
      <c r="J143" s="1614"/>
      <c r="K143" s="1616"/>
      <c r="L143" s="705"/>
      <c r="M143" s="1618"/>
      <c r="N143" s="1616"/>
      <c r="O143" s="1614"/>
      <c r="P143" s="1616"/>
      <c r="Q143" s="720">
        <f>I142+(365*24)</f>
        <v>47973</v>
      </c>
      <c r="R143" s="692"/>
      <c r="S143" s="710">
        <f>Q143-$S$1</f>
        <v>6524</v>
      </c>
      <c r="T143" s="692" t="s">
        <v>906</v>
      </c>
      <c r="U143" s="309" t="str">
        <f t="shared" si="45"/>
        <v/>
      </c>
    </row>
    <row r="144" spans="1:21" ht="30.2" customHeight="1" x14ac:dyDescent="0.2">
      <c r="A144" s="684"/>
      <c r="B144" s="830" t="s">
        <v>312</v>
      </c>
      <c r="C144" s="739" t="s">
        <v>313</v>
      </c>
      <c r="D144" s="736" t="s">
        <v>1120</v>
      </c>
      <c r="E144" s="682" t="s">
        <v>1040</v>
      </c>
      <c r="F144" s="701">
        <v>20000</v>
      </c>
      <c r="G144" s="690" t="s">
        <v>885</v>
      </c>
      <c r="H144" s="702" t="s">
        <v>1021</v>
      </c>
      <c r="I144" s="703">
        <v>39289</v>
      </c>
      <c r="J144" s="704">
        <v>0</v>
      </c>
      <c r="K144" s="690" t="s">
        <v>885</v>
      </c>
      <c r="L144" s="705"/>
      <c r="M144" s="698">
        <v>0</v>
      </c>
      <c r="N144" s="690" t="s">
        <v>885</v>
      </c>
      <c r="O144" s="704">
        <f t="shared" ref="O144:O154" si="46">M144+($C$4-J144)</f>
        <v>1192.5</v>
      </c>
      <c r="P144" s="690" t="s">
        <v>885</v>
      </c>
      <c r="Q144" s="704">
        <f t="shared" ref="Q144:Q150" si="47">(F144-O144)+$C$4</f>
        <v>20000</v>
      </c>
      <c r="R144" s="690" t="s">
        <v>885</v>
      </c>
      <c r="S144" s="704">
        <f t="shared" ref="S144:S150" si="48">Q144-$C$4</f>
        <v>18807.5</v>
      </c>
      <c r="T144" s="690" t="s">
        <v>885</v>
      </c>
      <c r="U144" s="309" t="str">
        <f t="shared" si="45"/>
        <v/>
      </c>
    </row>
    <row r="145" spans="1:21" ht="30.2" customHeight="1" x14ac:dyDescent="0.2">
      <c r="A145" s="684"/>
      <c r="B145" s="830" t="s">
        <v>312</v>
      </c>
      <c r="C145" s="739" t="s">
        <v>313</v>
      </c>
      <c r="D145" s="736" t="s">
        <v>1121</v>
      </c>
      <c r="E145" s="682" t="s">
        <v>1040</v>
      </c>
      <c r="F145" s="701">
        <v>20000</v>
      </c>
      <c r="G145" s="690" t="s">
        <v>885</v>
      </c>
      <c r="H145" s="702" t="s">
        <v>1021</v>
      </c>
      <c r="I145" s="703">
        <v>39289</v>
      </c>
      <c r="J145" s="704">
        <v>0</v>
      </c>
      <c r="K145" s="690" t="s">
        <v>885</v>
      </c>
      <c r="L145" s="705"/>
      <c r="M145" s="698">
        <v>0</v>
      </c>
      <c r="N145" s="690" t="s">
        <v>885</v>
      </c>
      <c r="O145" s="704">
        <f t="shared" si="46"/>
        <v>1192.5</v>
      </c>
      <c r="P145" s="690" t="s">
        <v>885</v>
      </c>
      <c r="Q145" s="704">
        <f t="shared" si="47"/>
        <v>20000</v>
      </c>
      <c r="R145" s="690" t="s">
        <v>885</v>
      </c>
      <c r="S145" s="704">
        <f t="shared" si="48"/>
        <v>18807.5</v>
      </c>
      <c r="T145" s="690" t="s">
        <v>885</v>
      </c>
      <c r="U145" s="309" t="str">
        <f t="shared" si="45"/>
        <v/>
      </c>
    </row>
    <row r="146" spans="1:21" ht="30.2" customHeight="1" x14ac:dyDescent="0.2">
      <c r="A146" s="684"/>
      <c r="B146" s="830" t="s">
        <v>679</v>
      </c>
      <c r="C146" s="739" t="s">
        <v>1124</v>
      </c>
      <c r="D146" s="736" t="s">
        <v>1122</v>
      </c>
      <c r="E146" s="682" t="s">
        <v>1040</v>
      </c>
      <c r="F146" s="701">
        <v>20000</v>
      </c>
      <c r="G146" s="690" t="s">
        <v>885</v>
      </c>
      <c r="H146" s="702" t="s">
        <v>1021</v>
      </c>
      <c r="I146" s="703">
        <v>39289</v>
      </c>
      <c r="J146" s="704">
        <v>0</v>
      </c>
      <c r="K146" s="690" t="s">
        <v>885</v>
      </c>
      <c r="L146" s="705"/>
      <c r="M146" s="698">
        <v>0</v>
      </c>
      <c r="N146" s="690" t="s">
        <v>885</v>
      </c>
      <c r="O146" s="704">
        <f t="shared" si="46"/>
        <v>1192.5</v>
      </c>
      <c r="P146" s="690" t="s">
        <v>885</v>
      </c>
      <c r="Q146" s="704">
        <f t="shared" si="47"/>
        <v>20000</v>
      </c>
      <c r="R146" s="690" t="s">
        <v>885</v>
      </c>
      <c r="S146" s="704">
        <f t="shared" si="48"/>
        <v>18807.5</v>
      </c>
      <c r="T146" s="690" t="s">
        <v>885</v>
      </c>
      <c r="U146" s="309" t="str">
        <f t="shared" si="45"/>
        <v/>
      </c>
    </row>
    <row r="147" spans="1:21" ht="30.2" customHeight="1" x14ac:dyDescent="0.2">
      <c r="A147" s="684"/>
      <c r="B147" s="830" t="s">
        <v>679</v>
      </c>
      <c r="C147" s="739" t="s">
        <v>1124</v>
      </c>
      <c r="D147" s="739" t="s">
        <v>1123</v>
      </c>
      <c r="E147" s="682" t="s">
        <v>1040</v>
      </c>
      <c r="F147" s="701">
        <v>20000</v>
      </c>
      <c r="G147" s="690" t="s">
        <v>885</v>
      </c>
      <c r="H147" s="702" t="s">
        <v>1021</v>
      </c>
      <c r="I147" s="703">
        <v>39289</v>
      </c>
      <c r="J147" s="704">
        <v>0</v>
      </c>
      <c r="K147" s="690" t="s">
        <v>885</v>
      </c>
      <c r="L147" s="705"/>
      <c r="M147" s="698">
        <v>0</v>
      </c>
      <c r="N147" s="690" t="s">
        <v>885</v>
      </c>
      <c r="O147" s="704">
        <f t="shared" si="46"/>
        <v>1192.5</v>
      </c>
      <c r="P147" s="690" t="s">
        <v>885</v>
      </c>
      <c r="Q147" s="704">
        <f t="shared" si="47"/>
        <v>20000</v>
      </c>
      <c r="R147" s="690" t="s">
        <v>885</v>
      </c>
      <c r="S147" s="704">
        <f t="shared" si="48"/>
        <v>18807.5</v>
      </c>
      <c r="T147" s="690" t="s">
        <v>885</v>
      </c>
      <c r="U147" s="309" t="str">
        <f t="shared" si="45"/>
        <v/>
      </c>
    </row>
    <row r="148" spans="1:21" ht="30.2" customHeight="1" x14ac:dyDescent="0.2">
      <c r="A148" s="684"/>
      <c r="B148" s="683" t="s">
        <v>173</v>
      </c>
      <c r="C148" s="614" t="s">
        <v>1125</v>
      </c>
      <c r="D148" s="722">
        <v>15167</v>
      </c>
      <c r="E148" s="723" t="s">
        <v>1041</v>
      </c>
      <c r="F148" s="701">
        <v>4000</v>
      </c>
      <c r="G148" s="690" t="s">
        <v>885</v>
      </c>
      <c r="H148" s="702" t="s">
        <v>1021</v>
      </c>
      <c r="I148" s="703">
        <v>39289</v>
      </c>
      <c r="J148" s="704">
        <v>0</v>
      </c>
      <c r="K148" s="690" t="s">
        <v>885</v>
      </c>
      <c r="L148" s="705"/>
      <c r="M148" s="698">
        <v>0</v>
      </c>
      <c r="N148" s="690" t="s">
        <v>885</v>
      </c>
      <c r="O148" s="704">
        <f t="shared" si="46"/>
        <v>1192.5</v>
      </c>
      <c r="P148" s="690" t="s">
        <v>885</v>
      </c>
      <c r="Q148" s="704">
        <f t="shared" si="47"/>
        <v>4000</v>
      </c>
      <c r="R148" s="690" t="s">
        <v>885</v>
      </c>
      <c r="S148" s="704">
        <f t="shared" si="48"/>
        <v>2807.5</v>
      </c>
      <c r="T148" s="690" t="s">
        <v>885</v>
      </c>
      <c r="U148" s="309" t="str">
        <f t="shared" si="45"/>
        <v/>
      </c>
    </row>
    <row r="149" spans="1:21" ht="30.2" customHeight="1" x14ac:dyDescent="0.2">
      <c r="A149" s="684"/>
      <c r="B149" s="683" t="s">
        <v>1042</v>
      </c>
      <c r="C149" s="614" t="s">
        <v>1126</v>
      </c>
      <c r="D149" s="722">
        <v>38723</v>
      </c>
      <c r="E149" s="723" t="s">
        <v>1041</v>
      </c>
      <c r="F149" s="701">
        <v>20000</v>
      </c>
      <c r="G149" s="690" t="s">
        <v>885</v>
      </c>
      <c r="H149" s="702" t="s">
        <v>1021</v>
      </c>
      <c r="I149" s="703">
        <v>39289</v>
      </c>
      <c r="J149" s="704">
        <v>0</v>
      </c>
      <c r="K149" s="690" t="s">
        <v>885</v>
      </c>
      <c r="L149" s="705"/>
      <c r="M149" s="698">
        <v>0</v>
      </c>
      <c r="N149" s="690" t="s">
        <v>885</v>
      </c>
      <c r="O149" s="704">
        <f t="shared" ref="O149" si="49">M149+($C$4-J149)</f>
        <v>1192.5</v>
      </c>
      <c r="P149" s="690" t="s">
        <v>885</v>
      </c>
      <c r="Q149" s="704">
        <f t="shared" si="47"/>
        <v>20000</v>
      </c>
      <c r="R149" s="690" t="s">
        <v>885</v>
      </c>
      <c r="S149" s="704">
        <f t="shared" si="48"/>
        <v>18807.5</v>
      </c>
      <c r="T149" s="690" t="s">
        <v>885</v>
      </c>
    </row>
    <row r="150" spans="1:21" ht="30.2" customHeight="1" x14ac:dyDescent="0.2">
      <c r="A150" s="684"/>
      <c r="B150" s="683" t="s">
        <v>1042</v>
      </c>
      <c r="C150" s="614" t="s">
        <v>1126</v>
      </c>
      <c r="D150" s="722">
        <v>38724</v>
      </c>
      <c r="E150" s="723" t="s">
        <v>1041</v>
      </c>
      <c r="F150" s="701">
        <v>20000</v>
      </c>
      <c r="G150" s="690" t="s">
        <v>885</v>
      </c>
      <c r="H150" s="702" t="s">
        <v>1021</v>
      </c>
      <c r="I150" s="703">
        <v>39289</v>
      </c>
      <c r="J150" s="704">
        <v>0</v>
      </c>
      <c r="K150" s="690" t="s">
        <v>885</v>
      </c>
      <c r="L150" s="705"/>
      <c r="M150" s="698">
        <v>0</v>
      </c>
      <c r="N150" s="690" t="s">
        <v>885</v>
      </c>
      <c r="O150" s="704">
        <f t="shared" ref="O150" si="50">M150+($C$4-J150)</f>
        <v>1192.5</v>
      </c>
      <c r="P150" s="690" t="s">
        <v>885</v>
      </c>
      <c r="Q150" s="704">
        <f t="shared" si="47"/>
        <v>20000</v>
      </c>
      <c r="R150" s="690" t="s">
        <v>885</v>
      </c>
      <c r="S150" s="704">
        <f t="shared" si="48"/>
        <v>18807.5</v>
      </c>
      <c r="T150" s="690" t="s">
        <v>885</v>
      </c>
    </row>
    <row r="151" spans="1:21" ht="30.2" customHeight="1" x14ac:dyDescent="0.2">
      <c r="A151" s="684"/>
      <c r="B151" s="683" t="s">
        <v>314</v>
      </c>
      <c r="C151" s="614" t="s">
        <v>315</v>
      </c>
      <c r="D151" s="722" t="s">
        <v>1127</v>
      </c>
      <c r="E151" s="723" t="s">
        <v>1014</v>
      </c>
      <c r="F151" s="701" t="s">
        <v>166</v>
      </c>
      <c r="G151" s="690"/>
      <c r="H151" s="702" t="s">
        <v>166</v>
      </c>
      <c r="I151" s="703">
        <v>39289</v>
      </c>
      <c r="J151" s="704">
        <v>0</v>
      </c>
      <c r="K151" s="690" t="s">
        <v>885</v>
      </c>
      <c r="L151" s="705"/>
      <c r="M151" s="698">
        <v>0</v>
      </c>
      <c r="N151" s="690" t="s">
        <v>885</v>
      </c>
      <c r="O151" s="704">
        <f t="shared" si="46"/>
        <v>1192.5</v>
      </c>
      <c r="P151" s="690" t="s">
        <v>885</v>
      </c>
      <c r="Q151" s="704" t="s">
        <v>4</v>
      </c>
      <c r="R151" s="690"/>
      <c r="S151" s="704" t="s">
        <v>4</v>
      </c>
      <c r="T151" s="690"/>
      <c r="U151" s="309" t="str">
        <f>IF(S:S&lt;=50,"ALERTA","")</f>
        <v/>
      </c>
    </row>
    <row r="152" spans="1:21" ht="30.2" customHeight="1" x14ac:dyDescent="0.2">
      <c r="A152" s="684"/>
      <c r="B152" s="683" t="s">
        <v>1043</v>
      </c>
      <c r="C152" s="614" t="s">
        <v>1436</v>
      </c>
      <c r="D152" s="722" t="s">
        <v>1129</v>
      </c>
      <c r="E152" s="723" t="s">
        <v>1014</v>
      </c>
      <c r="F152" s="701">
        <v>20000</v>
      </c>
      <c r="G152" s="690" t="s">
        <v>885</v>
      </c>
      <c r="H152" s="702" t="s">
        <v>1021</v>
      </c>
      <c r="I152" s="703">
        <v>39289</v>
      </c>
      <c r="J152" s="704">
        <v>0</v>
      </c>
      <c r="K152" s="690" t="s">
        <v>885</v>
      </c>
      <c r="L152" s="705"/>
      <c r="M152" s="698">
        <v>0</v>
      </c>
      <c r="N152" s="690" t="s">
        <v>885</v>
      </c>
      <c r="O152" s="704">
        <f t="shared" ref="O152" si="51">M152+($C$4-J152)</f>
        <v>1192.5</v>
      </c>
      <c r="P152" s="690" t="s">
        <v>885</v>
      </c>
      <c r="Q152" s="704">
        <f>(F152-O152)+$C$4</f>
        <v>20000</v>
      </c>
      <c r="R152" s="690" t="s">
        <v>885</v>
      </c>
      <c r="S152" s="704">
        <f>Q152-$C$4</f>
        <v>18807.5</v>
      </c>
      <c r="T152" s="690" t="s">
        <v>885</v>
      </c>
    </row>
    <row r="153" spans="1:21" ht="30.2" customHeight="1" x14ac:dyDescent="0.2">
      <c r="A153" s="684"/>
      <c r="B153" s="683" t="s">
        <v>1044</v>
      </c>
      <c r="C153" s="614" t="s">
        <v>317</v>
      </c>
      <c r="D153" s="722" t="s">
        <v>1128</v>
      </c>
      <c r="E153" s="723" t="s">
        <v>1014</v>
      </c>
      <c r="F153" s="701">
        <v>20000</v>
      </c>
      <c r="G153" s="690" t="s">
        <v>885</v>
      </c>
      <c r="H153" s="702" t="s">
        <v>1021</v>
      </c>
      <c r="I153" s="703">
        <v>39289</v>
      </c>
      <c r="J153" s="704">
        <v>0</v>
      </c>
      <c r="K153" s="690" t="s">
        <v>885</v>
      </c>
      <c r="L153" s="705"/>
      <c r="M153" s="698">
        <v>0</v>
      </c>
      <c r="N153" s="690" t="s">
        <v>885</v>
      </c>
      <c r="O153" s="704">
        <f t="shared" ref="O153" si="52">M153+($C$4-J153)</f>
        <v>1192.5</v>
      </c>
      <c r="P153" s="690" t="s">
        <v>885</v>
      </c>
      <c r="Q153" s="704">
        <f>(F153-O153)+$C$4</f>
        <v>20000</v>
      </c>
      <c r="R153" s="690" t="s">
        <v>885</v>
      </c>
      <c r="S153" s="704">
        <f>Q153-$C$4</f>
        <v>18807.5</v>
      </c>
      <c r="T153" s="690" t="s">
        <v>885</v>
      </c>
    </row>
    <row r="154" spans="1:21" ht="30.2" customHeight="1" x14ac:dyDescent="0.2">
      <c r="A154" s="684"/>
      <c r="B154" s="683" t="s">
        <v>208</v>
      </c>
      <c r="C154" s="614" t="s">
        <v>316</v>
      </c>
      <c r="D154" s="722" t="s">
        <v>1127</v>
      </c>
      <c r="E154" s="723" t="s">
        <v>1014</v>
      </c>
      <c r="F154" s="701">
        <v>8400</v>
      </c>
      <c r="G154" s="690" t="s">
        <v>885</v>
      </c>
      <c r="H154" s="702" t="s">
        <v>1021</v>
      </c>
      <c r="I154" s="703">
        <v>39289</v>
      </c>
      <c r="J154" s="704">
        <v>0</v>
      </c>
      <c r="K154" s="690" t="s">
        <v>885</v>
      </c>
      <c r="L154" s="705"/>
      <c r="M154" s="698">
        <v>0</v>
      </c>
      <c r="N154" s="690" t="s">
        <v>885</v>
      </c>
      <c r="O154" s="704">
        <f t="shared" si="46"/>
        <v>1192.5</v>
      </c>
      <c r="P154" s="690" t="s">
        <v>885</v>
      </c>
      <c r="Q154" s="704">
        <f>(F154-O154)+$C$4</f>
        <v>8400</v>
      </c>
      <c r="R154" s="690" t="s">
        <v>885</v>
      </c>
      <c r="S154" s="704">
        <f>Q154-$C$4</f>
        <v>7207.5</v>
      </c>
      <c r="T154" s="690" t="s">
        <v>885</v>
      </c>
      <c r="U154" s="309" t="str">
        <f>IF(S:S&lt;=50,"ALERTA","")</f>
        <v/>
      </c>
    </row>
    <row r="155" spans="1:21" ht="30.2" customHeight="1" x14ac:dyDescent="0.2">
      <c r="A155" s="684"/>
      <c r="B155" s="683" t="s">
        <v>1013</v>
      </c>
      <c r="C155" s="713" t="s">
        <v>318</v>
      </c>
      <c r="D155" s="714" t="s">
        <v>1084</v>
      </c>
      <c r="E155" s="715" t="s">
        <v>1014</v>
      </c>
      <c r="F155" s="710">
        <v>5000</v>
      </c>
      <c r="G155" s="692" t="s">
        <v>885</v>
      </c>
      <c r="H155" s="743" t="s">
        <v>987</v>
      </c>
      <c r="I155" s="717">
        <v>39289</v>
      </c>
      <c r="J155" s="718">
        <v>0</v>
      </c>
      <c r="K155" s="692" t="s">
        <v>885</v>
      </c>
      <c r="L155" s="705"/>
      <c r="M155" s="698">
        <v>0</v>
      </c>
      <c r="N155" s="692" t="s">
        <v>885</v>
      </c>
      <c r="O155" s="704">
        <f t="shared" ref="O155:O158" si="53">M155+($C$4-J155)</f>
        <v>1192.5</v>
      </c>
      <c r="P155" s="692" t="s">
        <v>885</v>
      </c>
      <c r="Q155" s="704">
        <f>(F155-O155)+$C$4</f>
        <v>5000</v>
      </c>
      <c r="R155" s="692" t="s">
        <v>885</v>
      </c>
      <c r="S155" s="704">
        <f t="shared" ref="S155:S158" si="54">Q155-$C$4</f>
        <v>3807.5</v>
      </c>
      <c r="T155" s="692" t="s">
        <v>885</v>
      </c>
      <c r="U155" s="309" t="str">
        <f>IF(S:S&lt;=50,"ALERTA","")</f>
        <v/>
      </c>
    </row>
    <row r="156" spans="1:21" s="1115" customFormat="1" ht="27.75" customHeight="1" x14ac:dyDescent="0.2">
      <c r="A156" s="1113"/>
      <c r="B156" s="1670" t="s">
        <v>1015</v>
      </c>
      <c r="C156" s="1670" t="s">
        <v>1448</v>
      </c>
      <c r="D156" s="1691" t="s">
        <v>1084</v>
      </c>
      <c r="E156" s="1695" t="s">
        <v>1014</v>
      </c>
      <c r="F156" s="1114">
        <v>3600</v>
      </c>
      <c r="G156" s="1095" t="s">
        <v>885</v>
      </c>
      <c r="H156" s="1703" t="s">
        <v>987</v>
      </c>
      <c r="I156" s="1656">
        <v>41294</v>
      </c>
      <c r="J156" s="1658">
        <v>1091.2</v>
      </c>
      <c r="K156" s="1660" t="s">
        <v>885</v>
      </c>
      <c r="L156" s="617"/>
      <c r="M156" s="1662">
        <v>0</v>
      </c>
      <c r="N156" s="1660" t="s">
        <v>885</v>
      </c>
      <c r="O156" s="1658">
        <f>M156+($C$4-J156)</f>
        <v>101.29999999999995</v>
      </c>
      <c r="P156" s="1660" t="s">
        <v>885</v>
      </c>
      <c r="Q156" s="1097">
        <f>F156+J156</f>
        <v>4691.2</v>
      </c>
      <c r="R156" s="1095" t="s">
        <v>885</v>
      </c>
      <c r="S156" s="1097">
        <f>Q156-$C$4</f>
        <v>3498.7</v>
      </c>
      <c r="T156" s="1095" t="s">
        <v>885</v>
      </c>
    </row>
    <row r="157" spans="1:21" s="1115" customFormat="1" ht="15" customHeight="1" x14ac:dyDescent="0.2">
      <c r="A157" s="1113"/>
      <c r="B157" s="1685"/>
      <c r="C157" s="1692"/>
      <c r="D157" s="1692"/>
      <c r="E157" s="1696"/>
      <c r="F157" s="1116">
        <v>60</v>
      </c>
      <c r="G157" s="1096" t="s">
        <v>880</v>
      </c>
      <c r="H157" s="1704"/>
      <c r="I157" s="1657"/>
      <c r="J157" s="1659"/>
      <c r="K157" s="1661"/>
      <c r="L157" s="617"/>
      <c r="M157" s="1663"/>
      <c r="N157" s="1661"/>
      <c r="O157" s="1659"/>
      <c r="P157" s="1661"/>
      <c r="Q157" s="619">
        <f>I156+(365*5)+180</f>
        <v>43299</v>
      </c>
      <c r="R157" s="1096"/>
      <c r="S157" s="618">
        <f>Q157-$S$1</f>
        <v>1850</v>
      </c>
      <c r="T157" s="1096" t="s">
        <v>906</v>
      </c>
    </row>
    <row r="158" spans="1:21" ht="18" customHeight="1" x14ac:dyDescent="0.2">
      <c r="A158" s="1683"/>
      <c r="B158" s="1642" t="s">
        <v>174</v>
      </c>
      <c r="C158" s="1634" t="s">
        <v>982</v>
      </c>
      <c r="D158" s="1634" t="s">
        <v>1130</v>
      </c>
      <c r="E158" s="1635" t="s">
        <v>983</v>
      </c>
      <c r="F158" s="707">
        <v>2000</v>
      </c>
      <c r="G158" s="691" t="s">
        <v>885</v>
      </c>
      <c r="H158" s="1637" t="s">
        <v>0</v>
      </c>
      <c r="I158" s="1611">
        <v>39156</v>
      </c>
      <c r="J158" s="1613">
        <v>0</v>
      </c>
      <c r="K158" s="1615" t="s">
        <v>885</v>
      </c>
      <c r="L158" s="705"/>
      <c r="M158" s="1617">
        <v>0</v>
      </c>
      <c r="N158" s="1615" t="s">
        <v>885</v>
      </c>
      <c r="O158" s="1613">
        <f t="shared" si="53"/>
        <v>1192.5</v>
      </c>
      <c r="P158" s="1615" t="s">
        <v>885</v>
      </c>
      <c r="Q158" s="730">
        <f>F158+J158-M158</f>
        <v>2000</v>
      </c>
      <c r="R158" s="691" t="s">
        <v>885</v>
      </c>
      <c r="S158" s="730">
        <f t="shared" si="54"/>
        <v>807.5</v>
      </c>
      <c r="T158" s="691" t="s">
        <v>885</v>
      </c>
      <c r="U158" s="309" t="str">
        <f t="shared" ref="U158:U166" si="55">IF(S:S&lt;=50,"ALERTA","")</f>
        <v/>
      </c>
    </row>
    <row r="159" spans="1:21" ht="18" customHeight="1" x14ac:dyDescent="0.2">
      <c r="A159" s="1683"/>
      <c r="B159" s="1620"/>
      <c r="C159" s="1622"/>
      <c r="D159" s="1622"/>
      <c r="E159" s="1639"/>
      <c r="F159" s="710">
        <v>288</v>
      </c>
      <c r="G159" s="692" t="s">
        <v>880</v>
      </c>
      <c r="H159" s="1638"/>
      <c r="I159" s="1612"/>
      <c r="J159" s="1614"/>
      <c r="K159" s="1616"/>
      <c r="L159" s="705"/>
      <c r="M159" s="1618"/>
      <c r="N159" s="1616"/>
      <c r="O159" s="1614"/>
      <c r="P159" s="1616"/>
      <c r="Q159" s="720">
        <f>I158+(365*24)</f>
        <v>47916</v>
      </c>
      <c r="R159" s="692"/>
      <c r="S159" s="710">
        <f>Q159-$S$1</f>
        <v>6467</v>
      </c>
      <c r="T159" s="692" t="s">
        <v>906</v>
      </c>
      <c r="U159" s="309" t="str">
        <f t="shared" si="55"/>
        <v/>
      </c>
    </row>
    <row r="160" spans="1:21" ht="30.2" customHeight="1" x14ac:dyDescent="0.2">
      <c r="A160" s="684"/>
      <c r="B160" s="830" t="s">
        <v>204</v>
      </c>
      <c r="C160" s="739" t="s">
        <v>22</v>
      </c>
      <c r="D160" s="740" t="s">
        <v>1131</v>
      </c>
      <c r="E160" s="723" t="s">
        <v>983</v>
      </c>
      <c r="F160" s="701">
        <v>2300</v>
      </c>
      <c r="G160" s="690" t="s">
        <v>885</v>
      </c>
      <c r="H160" s="702" t="s">
        <v>1021</v>
      </c>
      <c r="I160" s="703">
        <v>39289</v>
      </c>
      <c r="J160" s="704">
        <v>0</v>
      </c>
      <c r="K160" s="690" t="s">
        <v>885</v>
      </c>
      <c r="L160" s="705"/>
      <c r="M160" s="698">
        <v>0</v>
      </c>
      <c r="N160" s="690" t="s">
        <v>885</v>
      </c>
      <c r="O160" s="704">
        <f t="shared" ref="O160:O166" si="56">M160+($C$4-J160)</f>
        <v>1192.5</v>
      </c>
      <c r="P160" s="690" t="s">
        <v>885</v>
      </c>
      <c r="Q160" s="704">
        <f>(F160-O160)+$C$4</f>
        <v>2300</v>
      </c>
      <c r="R160" s="690" t="s">
        <v>885</v>
      </c>
      <c r="S160" s="704">
        <f>Q160-$C$4</f>
        <v>1107.5</v>
      </c>
      <c r="T160" s="690" t="s">
        <v>885</v>
      </c>
      <c r="U160" s="309" t="str">
        <f t="shared" si="55"/>
        <v/>
      </c>
    </row>
    <row r="161" spans="1:21" ht="30.2" customHeight="1" x14ac:dyDescent="0.2">
      <c r="A161" s="684"/>
      <c r="B161" s="983" t="s">
        <v>205</v>
      </c>
      <c r="C161" s="713" t="s">
        <v>19</v>
      </c>
      <c r="D161" s="714" t="s">
        <v>1132</v>
      </c>
      <c r="E161" s="715" t="s">
        <v>983</v>
      </c>
      <c r="F161" s="710">
        <v>6700</v>
      </c>
      <c r="G161" s="692" t="s">
        <v>885</v>
      </c>
      <c r="H161" s="702" t="s">
        <v>1021</v>
      </c>
      <c r="I161" s="703">
        <v>39289</v>
      </c>
      <c r="J161" s="704">
        <v>0</v>
      </c>
      <c r="K161" s="692" t="s">
        <v>885</v>
      </c>
      <c r="L161" s="705"/>
      <c r="M161" s="698">
        <v>0</v>
      </c>
      <c r="N161" s="692" t="s">
        <v>885</v>
      </c>
      <c r="O161" s="704">
        <f t="shared" si="56"/>
        <v>1192.5</v>
      </c>
      <c r="P161" s="692" t="s">
        <v>885</v>
      </c>
      <c r="Q161" s="704">
        <f>(F161-O161)+$C$4</f>
        <v>6700</v>
      </c>
      <c r="R161" s="692" t="s">
        <v>885</v>
      </c>
      <c r="S161" s="704">
        <f>Q161-$C$4</f>
        <v>5507.5</v>
      </c>
      <c r="T161" s="692" t="s">
        <v>885</v>
      </c>
      <c r="U161" s="309" t="str">
        <f t="shared" si="55"/>
        <v/>
      </c>
    </row>
    <row r="162" spans="1:21" ht="30.2" customHeight="1" x14ac:dyDescent="0.2">
      <c r="A162" s="684"/>
      <c r="B162" s="983" t="s">
        <v>206</v>
      </c>
      <c r="C162" s="713" t="s">
        <v>21</v>
      </c>
      <c r="D162" s="714" t="s">
        <v>1133</v>
      </c>
      <c r="E162" s="715" t="s">
        <v>983</v>
      </c>
      <c r="F162" s="710">
        <v>20000</v>
      </c>
      <c r="G162" s="692" t="s">
        <v>885</v>
      </c>
      <c r="H162" s="702" t="s">
        <v>1021</v>
      </c>
      <c r="I162" s="703">
        <v>39289</v>
      </c>
      <c r="J162" s="704">
        <v>0</v>
      </c>
      <c r="K162" s="692" t="s">
        <v>885</v>
      </c>
      <c r="L162" s="705"/>
      <c r="M162" s="698">
        <v>0</v>
      </c>
      <c r="N162" s="692" t="s">
        <v>885</v>
      </c>
      <c r="O162" s="704">
        <f t="shared" si="56"/>
        <v>1192.5</v>
      </c>
      <c r="P162" s="692" t="s">
        <v>885</v>
      </c>
      <c r="Q162" s="704">
        <f>(F162-O162)+$C$4</f>
        <v>20000</v>
      </c>
      <c r="R162" s="692" t="s">
        <v>885</v>
      </c>
      <c r="S162" s="704">
        <f>Q162-$C$4</f>
        <v>18807.5</v>
      </c>
      <c r="T162" s="692" t="s">
        <v>885</v>
      </c>
      <c r="U162" s="309" t="str">
        <f t="shared" si="55"/>
        <v/>
      </c>
    </row>
    <row r="163" spans="1:21" ht="30.2" customHeight="1" x14ac:dyDescent="0.2">
      <c r="A163" s="684"/>
      <c r="B163" s="983" t="s">
        <v>207</v>
      </c>
      <c r="C163" s="713" t="s">
        <v>20</v>
      </c>
      <c r="D163" s="714" t="s">
        <v>1134</v>
      </c>
      <c r="E163" s="715" t="s">
        <v>983</v>
      </c>
      <c r="F163" s="710">
        <v>20000</v>
      </c>
      <c r="G163" s="692" t="s">
        <v>885</v>
      </c>
      <c r="H163" s="702" t="s">
        <v>1021</v>
      </c>
      <c r="I163" s="703">
        <v>39289</v>
      </c>
      <c r="J163" s="704">
        <v>0</v>
      </c>
      <c r="K163" s="692" t="s">
        <v>885</v>
      </c>
      <c r="L163" s="705"/>
      <c r="M163" s="698">
        <v>0</v>
      </c>
      <c r="N163" s="692" t="s">
        <v>885</v>
      </c>
      <c r="O163" s="704">
        <f t="shared" si="56"/>
        <v>1192.5</v>
      </c>
      <c r="P163" s="692" t="s">
        <v>885</v>
      </c>
      <c r="Q163" s="704">
        <f>(F163-O163)+$C$4</f>
        <v>20000</v>
      </c>
      <c r="R163" s="692" t="s">
        <v>885</v>
      </c>
      <c r="S163" s="704">
        <f>Q163-$C$4</f>
        <v>18807.5</v>
      </c>
      <c r="T163" s="692" t="s">
        <v>885</v>
      </c>
      <c r="U163" s="309" t="str">
        <f t="shared" si="55"/>
        <v/>
      </c>
    </row>
    <row r="164" spans="1:21" ht="30.2" customHeight="1" x14ac:dyDescent="0.2">
      <c r="A164" s="684"/>
      <c r="B164" s="983" t="s">
        <v>1045</v>
      </c>
      <c r="C164" s="713" t="s">
        <v>23</v>
      </c>
      <c r="D164" s="714" t="s">
        <v>1135</v>
      </c>
      <c r="E164" s="715" t="s">
        <v>983</v>
      </c>
      <c r="F164" s="710">
        <v>20000</v>
      </c>
      <c r="G164" s="692" t="s">
        <v>885</v>
      </c>
      <c r="H164" s="702" t="s">
        <v>1021</v>
      </c>
      <c r="I164" s="703">
        <v>39289</v>
      </c>
      <c r="J164" s="704">
        <v>0</v>
      </c>
      <c r="K164" s="692" t="s">
        <v>885</v>
      </c>
      <c r="L164" s="705"/>
      <c r="M164" s="698">
        <v>0</v>
      </c>
      <c r="N164" s="692" t="s">
        <v>885</v>
      </c>
      <c r="O164" s="704">
        <f t="shared" si="56"/>
        <v>1192.5</v>
      </c>
      <c r="P164" s="692" t="s">
        <v>885</v>
      </c>
      <c r="Q164" s="704">
        <f>(F164-O164)+$C$4</f>
        <v>20000</v>
      </c>
      <c r="R164" s="692" t="s">
        <v>885</v>
      </c>
      <c r="S164" s="704">
        <f>Q164-$C$4</f>
        <v>18807.5</v>
      </c>
      <c r="T164" s="692" t="s">
        <v>885</v>
      </c>
      <c r="U164" s="309" t="str">
        <f t="shared" si="55"/>
        <v/>
      </c>
    </row>
    <row r="165" spans="1:21" ht="30.2" customHeight="1" x14ac:dyDescent="0.2">
      <c r="A165" s="684"/>
      <c r="B165" s="983" t="s">
        <v>175</v>
      </c>
      <c r="C165" s="713" t="s">
        <v>176</v>
      </c>
      <c r="D165" s="714" t="s">
        <v>1136</v>
      </c>
      <c r="E165" s="689" t="s">
        <v>983</v>
      </c>
      <c r="F165" s="724" t="s">
        <v>166</v>
      </c>
      <c r="G165" s="690"/>
      <c r="H165" s="702" t="s">
        <v>166</v>
      </c>
      <c r="I165" s="703">
        <v>39289</v>
      </c>
      <c r="J165" s="704">
        <v>0</v>
      </c>
      <c r="K165" s="690" t="s">
        <v>120</v>
      </c>
      <c r="L165" s="705"/>
      <c r="M165" s="698">
        <v>0</v>
      </c>
      <c r="N165" s="690" t="s">
        <v>885</v>
      </c>
      <c r="O165" s="704">
        <f>M165+($C$4-J165)</f>
        <v>1192.5</v>
      </c>
      <c r="P165" s="690" t="s">
        <v>885</v>
      </c>
      <c r="Q165" s="704" t="s">
        <v>4</v>
      </c>
      <c r="R165" s="690"/>
      <c r="S165" s="704" t="s">
        <v>4</v>
      </c>
      <c r="T165" s="690"/>
      <c r="U165" s="309" t="str">
        <f t="shared" si="55"/>
        <v/>
      </c>
    </row>
    <row r="166" spans="1:21" ht="30.2" customHeight="1" x14ac:dyDescent="0.2">
      <c r="A166" s="684"/>
      <c r="B166" s="683" t="s">
        <v>319</v>
      </c>
      <c r="C166" s="683" t="s">
        <v>1137</v>
      </c>
      <c r="D166" s="699" t="s">
        <v>1138</v>
      </c>
      <c r="E166" s="689" t="s">
        <v>983</v>
      </c>
      <c r="F166" s="724" t="s">
        <v>166</v>
      </c>
      <c r="G166" s="690"/>
      <c r="H166" s="702" t="s">
        <v>166</v>
      </c>
      <c r="I166" s="703">
        <v>39289</v>
      </c>
      <c r="J166" s="704">
        <v>0</v>
      </c>
      <c r="K166" s="690" t="s">
        <v>120</v>
      </c>
      <c r="L166" s="705"/>
      <c r="M166" s="698">
        <v>0</v>
      </c>
      <c r="N166" s="690" t="s">
        <v>885</v>
      </c>
      <c r="O166" s="704">
        <f t="shared" si="56"/>
        <v>1192.5</v>
      </c>
      <c r="P166" s="690" t="s">
        <v>885</v>
      </c>
      <c r="Q166" s="704" t="s">
        <v>4</v>
      </c>
      <c r="R166" s="690"/>
      <c r="S166" s="704" t="s">
        <v>4</v>
      </c>
      <c r="T166" s="690"/>
      <c r="U166" s="309" t="str">
        <f t="shared" si="55"/>
        <v/>
      </c>
    </row>
    <row r="167" spans="1:21" ht="30" customHeight="1" x14ac:dyDescent="0.2">
      <c r="A167" s="684"/>
      <c r="B167" s="986" t="s">
        <v>1016</v>
      </c>
      <c r="C167" s="721" t="s">
        <v>25</v>
      </c>
      <c r="D167" s="721" t="s">
        <v>1139</v>
      </c>
      <c r="E167" s="733" t="s">
        <v>983</v>
      </c>
      <c r="F167" s="775">
        <v>3000</v>
      </c>
      <c r="G167" s="695" t="s">
        <v>885</v>
      </c>
      <c r="H167" s="702" t="s">
        <v>987</v>
      </c>
      <c r="I167" s="703">
        <v>39289</v>
      </c>
      <c r="J167" s="704">
        <v>0</v>
      </c>
      <c r="K167" s="692" t="s">
        <v>885</v>
      </c>
      <c r="L167" s="705"/>
      <c r="M167" s="698">
        <v>0</v>
      </c>
      <c r="N167" s="692" t="s">
        <v>885</v>
      </c>
      <c r="O167" s="704">
        <f t="shared" ref="O167" si="57">M167+($C$4-J167)</f>
        <v>1192.5</v>
      </c>
      <c r="P167" s="692" t="s">
        <v>885</v>
      </c>
      <c r="Q167" s="704">
        <f>(F167-O167)+$C$4</f>
        <v>3000</v>
      </c>
      <c r="R167" s="692" t="s">
        <v>885</v>
      </c>
      <c r="S167" s="704">
        <f>Q167-$C$4</f>
        <v>1807.5</v>
      </c>
      <c r="T167" s="692" t="s">
        <v>885</v>
      </c>
    </row>
    <row r="168" spans="1:21" ht="18" customHeight="1" x14ac:dyDescent="0.2">
      <c r="A168" s="1683"/>
      <c r="B168" s="1642" t="s">
        <v>177</v>
      </c>
      <c r="C168" s="1634" t="s">
        <v>178</v>
      </c>
      <c r="D168" s="1634">
        <v>1644</v>
      </c>
      <c r="E168" s="1635" t="s">
        <v>984</v>
      </c>
      <c r="F168" s="707">
        <v>3000</v>
      </c>
      <c r="G168" s="1251" t="s">
        <v>885</v>
      </c>
      <c r="H168" s="1637" t="s">
        <v>0</v>
      </c>
      <c r="I168" s="1611">
        <v>39036</v>
      </c>
      <c r="J168" s="1613">
        <v>0</v>
      </c>
      <c r="K168" s="1615" t="s">
        <v>885</v>
      </c>
      <c r="L168" s="705"/>
      <c r="M168" s="1617">
        <v>0</v>
      </c>
      <c r="N168" s="1615" t="s">
        <v>885</v>
      </c>
      <c r="O168" s="1613">
        <f>M168+($C$4-J168)</f>
        <v>1192.5</v>
      </c>
      <c r="P168" s="1615" t="s">
        <v>885</v>
      </c>
      <c r="Q168" s="1249">
        <f>F168+J168</f>
        <v>3000</v>
      </c>
      <c r="R168" s="1251" t="s">
        <v>885</v>
      </c>
      <c r="S168" s="1249">
        <f>Q168-$C$4</f>
        <v>1807.5</v>
      </c>
      <c r="T168" s="1251" t="s">
        <v>885</v>
      </c>
      <c r="U168" s="309" t="str">
        <f>IF(S:S&lt;=50,"ALERTA","")</f>
        <v/>
      </c>
    </row>
    <row r="169" spans="1:21" ht="18" customHeight="1" x14ac:dyDescent="0.2">
      <c r="A169" s="1683"/>
      <c r="B169" s="1619"/>
      <c r="C169" s="1621"/>
      <c r="D169" s="1621"/>
      <c r="E169" s="1636"/>
      <c r="F169" s="710">
        <v>240</v>
      </c>
      <c r="G169" s="1252" t="s">
        <v>880</v>
      </c>
      <c r="H169" s="1638"/>
      <c r="I169" s="1612"/>
      <c r="J169" s="1614"/>
      <c r="K169" s="1616"/>
      <c r="L169" s="705"/>
      <c r="M169" s="1618"/>
      <c r="N169" s="1616"/>
      <c r="O169" s="1614"/>
      <c r="P169" s="1616"/>
      <c r="Q169" s="720">
        <f>I168+(365*20)</f>
        <v>46336</v>
      </c>
      <c r="R169" s="1252"/>
      <c r="S169" s="710">
        <f>Q169-$S$1</f>
        <v>4887</v>
      </c>
      <c r="T169" s="1252" t="s">
        <v>906</v>
      </c>
    </row>
    <row r="170" spans="1:21" ht="18" customHeight="1" x14ac:dyDescent="0.2">
      <c r="A170" s="684"/>
      <c r="B170" s="1244"/>
      <c r="C170" s="1246"/>
      <c r="D170" s="1246"/>
      <c r="E170" s="1257"/>
      <c r="F170" s="710">
        <v>20000</v>
      </c>
      <c r="G170" s="1252" t="s">
        <v>885</v>
      </c>
      <c r="H170" s="1253" t="s">
        <v>1021</v>
      </c>
      <c r="I170" s="1248" t="s">
        <v>1185</v>
      </c>
      <c r="J170" s="704">
        <v>0</v>
      </c>
      <c r="K170" s="690" t="s">
        <v>885</v>
      </c>
      <c r="L170" s="705"/>
      <c r="M170" s="698">
        <v>0</v>
      </c>
      <c r="N170" s="690" t="s">
        <v>885</v>
      </c>
      <c r="O170" s="704">
        <f>M170+($C$4-J170)</f>
        <v>1192.5</v>
      </c>
      <c r="P170" s="690" t="s">
        <v>885</v>
      </c>
      <c r="Q170" s="704">
        <f>(F170-O170)+$C$4</f>
        <v>20000</v>
      </c>
      <c r="R170" s="690" t="s">
        <v>885</v>
      </c>
      <c r="S170" s="704">
        <f>Q170-$C$4</f>
        <v>18807.5</v>
      </c>
      <c r="T170" s="690" t="s">
        <v>885</v>
      </c>
    </row>
    <row r="171" spans="1:21" ht="18" customHeight="1" x14ac:dyDescent="0.2">
      <c r="A171" s="1683"/>
      <c r="B171" s="1642" t="s">
        <v>179</v>
      </c>
      <c r="C171" s="1634" t="s">
        <v>277</v>
      </c>
      <c r="D171" s="1634">
        <v>1669</v>
      </c>
      <c r="E171" s="1635" t="s">
        <v>984</v>
      </c>
      <c r="F171" s="707">
        <v>3000</v>
      </c>
      <c r="G171" s="1251" t="s">
        <v>885</v>
      </c>
      <c r="H171" s="1637" t="s">
        <v>0</v>
      </c>
      <c r="I171" s="1611">
        <v>39005</v>
      </c>
      <c r="J171" s="1613">
        <v>0</v>
      </c>
      <c r="K171" s="1615" t="s">
        <v>885</v>
      </c>
      <c r="L171" s="705"/>
      <c r="M171" s="1617">
        <v>0</v>
      </c>
      <c r="N171" s="1615" t="s">
        <v>885</v>
      </c>
      <c r="O171" s="1613">
        <f>M171+($C$4-J171)</f>
        <v>1192.5</v>
      </c>
      <c r="P171" s="1615" t="s">
        <v>885</v>
      </c>
      <c r="Q171" s="1249">
        <f>F171+J171</f>
        <v>3000</v>
      </c>
      <c r="R171" s="1251" t="s">
        <v>885</v>
      </c>
      <c r="S171" s="1249">
        <f>Q171-$C$4</f>
        <v>1807.5</v>
      </c>
      <c r="T171" s="1251" t="s">
        <v>885</v>
      </c>
      <c r="U171" s="309" t="str">
        <f>IF(S:S&lt;=50,"ALERTA","")</f>
        <v/>
      </c>
    </row>
    <row r="172" spans="1:21" ht="18" customHeight="1" x14ac:dyDescent="0.2">
      <c r="A172" s="1683"/>
      <c r="B172" s="1619"/>
      <c r="C172" s="1621"/>
      <c r="D172" s="1621"/>
      <c r="E172" s="1636"/>
      <c r="F172" s="710">
        <v>240</v>
      </c>
      <c r="G172" s="1252" t="s">
        <v>880</v>
      </c>
      <c r="H172" s="1638"/>
      <c r="I172" s="1612"/>
      <c r="J172" s="1614"/>
      <c r="K172" s="1616"/>
      <c r="L172" s="705"/>
      <c r="M172" s="1618"/>
      <c r="N172" s="1616"/>
      <c r="O172" s="1614"/>
      <c r="P172" s="1616"/>
      <c r="Q172" s="720">
        <f>I171+(365*20)</f>
        <v>46305</v>
      </c>
      <c r="R172" s="1252"/>
      <c r="S172" s="710">
        <f>Q172-$S$1</f>
        <v>4856</v>
      </c>
      <c r="T172" s="1252" t="s">
        <v>906</v>
      </c>
      <c r="U172" s="309" t="str">
        <f>IF(S:S&lt;=50,"ALERTA","")</f>
        <v/>
      </c>
    </row>
    <row r="173" spans="1:21" ht="18" customHeight="1" x14ac:dyDescent="0.2">
      <c r="A173" s="684"/>
      <c r="B173" s="1244"/>
      <c r="C173" s="1246"/>
      <c r="D173" s="1246"/>
      <c r="E173" s="1257"/>
      <c r="F173" s="710">
        <v>20000</v>
      </c>
      <c r="G173" s="1252" t="s">
        <v>885</v>
      </c>
      <c r="H173" s="1253" t="s">
        <v>1021</v>
      </c>
      <c r="I173" s="1248" t="s">
        <v>1185</v>
      </c>
      <c r="J173" s="704">
        <v>0</v>
      </c>
      <c r="K173" s="690" t="s">
        <v>885</v>
      </c>
      <c r="L173" s="705"/>
      <c r="M173" s="698">
        <v>0</v>
      </c>
      <c r="N173" s="690" t="s">
        <v>885</v>
      </c>
      <c r="O173" s="704">
        <f>M173+($C$4-J173)</f>
        <v>1192.5</v>
      </c>
      <c r="P173" s="690" t="s">
        <v>885</v>
      </c>
      <c r="Q173" s="704">
        <f>(F173-O173)+$C$4</f>
        <v>20000</v>
      </c>
      <c r="R173" s="690" t="s">
        <v>885</v>
      </c>
      <c r="S173" s="704">
        <f>Q173-$C$4</f>
        <v>18807.5</v>
      </c>
      <c r="T173" s="690" t="s">
        <v>885</v>
      </c>
    </row>
    <row r="174" spans="1:21" ht="18" customHeight="1" x14ac:dyDescent="0.2">
      <c r="A174" s="1683"/>
      <c r="B174" s="1642" t="s">
        <v>179</v>
      </c>
      <c r="C174" s="1634" t="s">
        <v>277</v>
      </c>
      <c r="D174" s="1634">
        <v>1705</v>
      </c>
      <c r="E174" s="1635" t="s">
        <v>984</v>
      </c>
      <c r="F174" s="707">
        <v>3000</v>
      </c>
      <c r="G174" s="691" t="s">
        <v>885</v>
      </c>
      <c r="H174" s="1637" t="s">
        <v>0</v>
      </c>
      <c r="I174" s="1611">
        <v>39128</v>
      </c>
      <c r="J174" s="1613">
        <v>0</v>
      </c>
      <c r="K174" s="1615" t="s">
        <v>885</v>
      </c>
      <c r="L174" s="705"/>
      <c r="M174" s="1617">
        <v>0</v>
      </c>
      <c r="N174" s="1615" t="s">
        <v>885</v>
      </c>
      <c r="O174" s="1613">
        <f>M174+($C$4-J174)</f>
        <v>1192.5</v>
      </c>
      <c r="P174" s="1615" t="s">
        <v>885</v>
      </c>
      <c r="Q174" s="730">
        <f>F174+J174</f>
        <v>3000</v>
      </c>
      <c r="R174" s="691" t="s">
        <v>885</v>
      </c>
      <c r="S174" s="730">
        <f>Q174-$C$4</f>
        <v>1807.5</v>
      </c>
      <c r="T174" s="691" t="s">
        <v>885</v>
      </c>
      <c r="U174" s="309" t="str">
        <f>IF(S:S&lt;=50,"ALERTA","")</f>
        <v/>
      </c>
    </row>
    <row r="175" spans="1:21" ht="18" customHeight="1" x14ac:dyDescent="0.2">
      <c r="A175" s="1683"/>
      <c r="B175" s="1619"/>
      <c r="C175" s="1621"/>
      <c r="D175" s="1621"/>
      <c r="E175" s="1636"/>
      <c r="F175" s="710">
        <v>240</v>
      </c>
      <c r="G175" s="692" t="s">
        <v>880</v>
      </c>
      <c r="H175" s="1638"/>
      <c r="I175" s="1612"/>
      <c r="J175" s="1614"/>
      <c r="K175" s="1616"/>
      <c r="L175" s="705"/>
      <c r="M175" s="1618"/>
      <c r="N175" s="1616"/>
      <c r="O175" s="1614"/>
      <c r="P175" s="1616"/>
      <c r="Q175" s="720">
        <f>I174+(365*20)</f>
        <v>46428</v>
      </c>
      <c r="R175" s="692"/>
      <c r="S175" s="710">
        <f>Q175-$S$1</f>
        <v>4979</v>
      </c>
      <c r="T175" s="692" t="s">
        <v>906</v>
      </c>
      <c r="U175" s="309" t="str">
        <f>IF(S:S&lt;=50,"ALERTA","")</f>
        <v/>
      </c>
    </row>
    <row r="176" spans="1:21" ht="18" customHeight="1" x14ac:dyDescent="0.2">
      <c r="A176" s="684"/>
      <c r="B176" s="983"/>
      <c r="C176" s="713"/>
      <c r="D176" s="713"/>
      <c r="E176" s="738"/>
      <c r="F176" s="734">
        <v>20000</v>
      </c>
      <c r="G176" s="695" t="s">
        <v>885</v>
      </c>
      <c r="H176" s="749" t="s">
        <v>1021</v>
      </c>
      <c r="I176" s="1165" t="s">
        <v>1185</v>
      </c>
      <c r="J176" s="704">
        <v>0</v>
      </c>
      <c r="K176" s="690" t="s">
        <v>885</v>
      </c>
      <c r="L176" s="705"/>
      <c r="M176" s="698">
        <v>0</v>
      </c>
      <c r="N176" s="690" t="s">
        <v>885</v>
      </c>
      <c r="O176" s="704">
        <f>M176+($C$4-J176)</f>
        <v>1192.5</v>
      </c>
      <c r="P176" s="690" t="s">
        <v>885</v>
      </c>
      <c r="Q176" s="704">
        <f>(F176-O176)+$C$4</f>
        <v>20000</v>
      </c>
      <c r="R176" s="690" t="s">
        <v>885</v>
      </c>
      <c r="S176" s="704">
        <f>Q176-$C$4</f>
        <v>18807.5</v>
      </c>
      <c r="T176" s="690" t="s">
        <v>885</v>
      </c>
    </row>
    <row r="177" spans="1:22" ht="18" customHeight="1" x14ac:dyDescent="0.2">
      <c r="A177" s="1683"/>
      <c r="B177" s="1642" t="s">
        <v>179</v>
      </c>
      <c r="C177" s="1634" t="s">
        <v>278</v>
      </c>
      <c r="D177" s="1634">
        <v>469</v>
      </c>
      <c r="E177" s="1635" t="s">
        <v>984</v>
      </c>
      <c r="F177" s="707">
        <v>3000</v>
      </c>
      <c r="G177" s="1188" t="s">
        <v>885</v>
      </c>
      <c r="H177" s="1637" t="s">
        <v>0</v>
      </c>
      <c r="I177" s="1656">
        <v>41418</v>
      </c>
      <c r="J177" s="1658">
        <v>1171.2</v>
      </c>
      <c r="K177" s="1660" t="s">
        <v>885</v>
      </c>
      <c r="L177" s="617"/>
      <c r="M177" s="1662">
        <v>600.5</v>
      </c>
      <c r="N177" s="1615" t="s">
        <v>885</v>
      </c>
      <c r="O177" s="1613">
        <f>M177+($C$4-J177)</f>
        <v>621.79999999999995</v>
      </c>
      <c r="P177" s="1615" t="s">
        <v>885</v>
      </c>
      <c r="Q177" s="1186">
        <f>F177+J177</f>
        <v>4171.2</v>
      </c>
      <c r="R177" s="1188" t="s">
        <v>885</v>
      </c>
      <c r="S177" s="1186">
        <f>Q177-$C$4</f>
        <v>2978.7</v>
      </c>
      <c r="T177" s="1188" t="s">
        <v>885</v>
      </c>
      <c r="U177" s="309" t="str">
        <f>IF(S:S&lt;=50,"ALERTA","")</f>
        <v/>
      </c>
    </row>
    <row r="178" spans="1:22" ht="18" customHeight="1" x14ac:dyDescent="0.2">
      <c r="A178" s="1683"/>
      <c r="B178" s="1619"/>
      <c r="C178" s="1621"/>
      <c r="D178" s="1621"/>
      <c r="E178" s="1636"/>
      <c r="F178" s="710">
        <v>240</v>
      </c>
      <c r="G178" s="1189" t="s">
        <v>880</v>
      </c>
      <c r="H178" s="1638"/>
      <c r="I178" s="1657"/>
      <c r="J178" s="1659"/>
      <c r="K178" s="1661"/>
      <c r="L178" s="617"/>
      <c r="M178" s="1663"/>
      <c r="N178" s="1616"/>
      <c r="O178" s="1614"/>
      <c r="P178" s="1616"/>
      <c r="Q178" s="619">
        <v>46201</v>
      </c>
      <c r="R178" s="1189"/>
      <c r="S178" s="710">
        <f>Q178-$S$1</f>
        <v>4752</v>
      </c>
      <c r="T178" s="1189" t="s">
        <v>906</v>
      </c>
      <c r="U178" s="309" t="str">
        <f>IF(S:S&lt;=50,"ALERTA","")</f>
        <v/>
      </c>
    </row>
    <row r="179" spans="1:22" ht="18" customHeight="1" x14ac:dyDescent="0.2">
      <c r="A179" s="1164"/>
      <c r="B179" s="1181"/>
      <c r="C179" s="1183"/>
      <c r="D179" s="1183"/>
      <c r="E179" s="1192"/>
      <c r="F179" s="701">
        <v>20000</v>
      </c>
      <c r="G179" s="690" t="s">
        <v>885</v>
      </c>
      <c r="H179" s="747" t="s">
        <v>1021</v>
      </c>
      <c r="I179" s="703"/>
      <c r="J179" s="704">
        <v>1171.2</v>
      </c>
      <c r="K179" s="690" t="s">
        <v>885</v>
      </c>
      <c r="L179" s="705"/>
      <c r="M179" s="698">
        <v>5030.42</v>
      </c>
      <c r="N179" s="690" t="s">
        <v>885</v>
      </c>
      <c r="O179" s="704">
        <f>M179+($C$4-J179)</f>
        <v>5051.72</v>
      </c>
      <c r="P179" s="690" t="s">
        <v>885</v>
      </c>
      <c r="Q179" s="704">
        <f>(F179-O179)+$C$4</f>
        <v>16140.779999999999</v>
      </c>
      <c r="R179" s="690" t="s">
        <v>885</v>
      </c>
      <c r="S179" s="704">
        <f>Q179-$C$4</f>
        <v>14948.279999999999</v>
      </c>
      <c r="T179" s="690" t="s">
        <v>885</v>
      </c>
    </row>
    <row r="180" spans="1:22" ht="30" customHeight="1" x14ac:dyDescent="0.2">
      <c r="A180" s="684"/>
      <c r="B180" s="983" t="s">
        <v>1017</v>
      </c>
      <c r="C180" s="713" t="s">
        <v>1140</v>
      </c>
      <c r="D180" s="714" t="s">
        <v>1141</v>
      </c>
      <c r="E180" s="715" t="s">
        <v>1018</v>
      </c>
      <c r="F180" s="710">
        <v>2400</v>
      </c>
      <c r="G180" s="692" t="s">
        <v>885</v>
      </c>
      <c r="H180" s="743" t="s">
        <v>987</v>
      </c>
      <c r="I180" s="703">
        <v>39289</v>
      </c>
      <c r="J180" s="718">
        <v>0</v>
      </c>
      <c r="K180" s="692" t="s">
        <v>885</v>
      </c>
      <c r="L180" s="705"/>
      <c r="M180" s="698">
        <v>0</v>
      </c>
      <c r="N180" s="690" t="s">
        <v>885</v>
      </c>
      <c r="O180" s="704">
        <f>M180+($C$4-J180)</f>
        <v>1192.5</v>
      </c>
      <c r="P180" s="690" t="s">
        <v>885</v>
      </c>
      <c r="Q180" s="704">
        <f>(F180-O180)+$C$4</f>
        <v>2400</v>
      </c>
      <c r="R180" s="690" t="s">
        <v>885</v>
      </c>
      <c r="S180" s="704">
        <f>Q180-$C$4</f>
        <v>1207.5</v>
      </c>
      <c r="T180" s="690" t="s">
        <v>885</v>
      </c>
    </row>
    <row r="181" spans="1:22" ht="30.2" customHeight="1" x14ac:dyDescent="0.2">
      <c r="A181" s="684"/>
      <c r="B181" s="683" t="s">
        <v>180</v>
      </c>
      <c r="C181" s="683" t="s">
        <v>279</v>
      </c>
      <c r="D181" s="699">
        <v>946</v>
      </c>
      <c r="E181" s="689" t="s">
        <v>985</v>
      </c>
      <c r="F181" s="724">
        <v>2400</v>
      </c>
      <c r="G181" s="690" t="s">
        <v>885</v>
      </c>
      <c r="H181" s="702" t="s">
        <v>0</v>
      </c>
      <c r="I181" s="703">
        <v>39289</v>
      </c>
      <c r="J181" s="704">
        <v>0</v>
      </c>
      <c r="K181" s="690" t="s">
        <v>885</v>
      </c>
      <c r="L181" s="705"/>
      <c r="M181" s="698">
        <v>0</v>
      </c>
      <c r="N181" s="690" t="s">
        <v>885</v>
      </c>
      <c r="O181" s="704">
        <f>M181+($C$4-J181)</f>
        <v>1192.5</v>
      </c>
      <c r="P181" s="690" t="s">
        <v>885</v>
      </c>
      <c r="Q181" s="704">
        <f>(F181-O181)+$C$4</f>
        <v>2400</v>
      </c>
      <c r="R181" s="690" t="s">
        <v>885</v>
      </c>
      <c r="S181" s="704">
        <f>Q181-$C$4</f>
        <v>1207.5</v>
      </c>
      <c r="T181" s="690" t="s">
        <v>885</v>
      </c>
      <c r="U181" s="309" t="str">
        <f>IF(S:S&lt;=50,"ALERTA","")</f>
        <v/>
      </c>
    </row>
    <row r="182" spans="1:22" ht="30.2" customHeight="1" x14ac:dyDescent="0.2">
      <c r="A182" s="684"/>
      <c r="B182" s="683" t="s">
        <v>180</v>
      </c>
      <c r="C182" s="683" t="s">
        <v>279</v>
      </c>
      <c r="D182" s="699">
        <v>948</v>
      </c>
      <c r="E182" s="689" t="s">
        <v>985</v>
      </c>
      <c r="F182" s="724">
        <v>2400</v>
      </c>
      <c r="G182" s="690" t="s">
        <v>885</v>
      </c>
      <c r="H182" s="702" t="s">
        <v>0</v>
      </c>
      <c r="I182" s="703">
        <v>39289</v>
      </c>
      <c r="J182" s="704">
        <v>0</v>
      </c>
      <c r="K182" s="690" t="s">
        <v>885</v>
      </c>
      <c r="L182" s="705"/>
      <c r="M182" s="698">
        <v>0</v>
      </c>
      <c r="N182" s="690" t="s">
        <v>885</v>
      </c>
      <c r="O182" s="704">
        <f>M182+($C$4-J182)</f>
        <v>1192.5</v>
      </c>
      <c r="P182" s="690" t="s">
        <v>885</v>
      </c>
      <c r="Q182" s="704">
        <f>(F182-O182)+$C$4</f>
        <v>2400</v>
      </c>
      <c r="R182" s="690" t="s">
        <v>885</v>
      </c>
      <c r="S182" s="704">
        <f>Q182-$C$4</f>
        <v>1207.5</v>
      </c>
      <c r="T182" s="690" t="s">
        <v>885</v>
      </c>
      <c r="U182" s="309" t="str">
        <f>IF(S:S&lt;=50,"ALERTA","")</f>
        <v/>
      </c>
    </row>
    <row r="183" spans="1:22" s="1280" customFormat="1" ht="30.2" customHeight="1" x14ac:dyDescent="0.2">
      <c r="A183" s="1309"/>
      <c r="B183" s="1281" t="s">
        <v>1438</v>
      </c>
      <c r="C183" s="1281" t="s">
        <v>1439</v>
      </c>
      <c r="D183" s="1283" t="s">
        <v>1440</v>
      </c>
      <c r="E183" s="1284" t="s">
        <v>1441</v>
      </c>
      <c r="F183" s="1310">
        <v>6</v>
      </c>
      <c r="G183" s="1276" t="s">
        <v>200</v>
      </c>
      <c r="H183" s="1285" t="s">
        <v>1442</v>
      </c>
      <c r="I183" s="1274">
        <v>41440</v>
      </c>
      <c r="J183" s="1275">
        <v>1189.9000000000001</v>
      </c>
      <c r="K183" s="1276" t="s">
        <v>885</v>
      </c>
      <c r="L183" s="1277"/>
      <c r="M183" s="1278">
        <f>I183-V183</f>
        <v>15</v>
      </c>
      <c r="N183" s="1276" t="s">
        <v>906</v>
      </c>
      <c r="O183" s="1275">
        <f>M183+(S1-I183)</f>
        <v>24</v>
      </c>
      <c r="P183" s="1276"/>
      <c r="Q183" s="1279">
        <v>43646</v>
      </c>
      <c r="R183" s="1276"/>
      <c r="S183" s="1275">
        <f>Q183-S1</f>
        <v>2197</v>
      </c>
      <c r="T183" s="1276" t="s">
        <v>906</v>
      </c>
      <c r="V183" s="1311">
        <v>41425</v>
      </c>
    </row>
    <row r="184" spans="1:22" ht="18" customHeight="1" x14ac:dyDescent="0.2">
      <c r="A184" s="1020"/>
      <c r="B184" s="1664"/>
      <c r="C184" s="1664"/>
      <c r="D184" s="1664"/>
      <c r="E184" s="1021"/>
      <c r="F184" s="1022"/>
      <c r="G184" s="1023"/>
      <c r="H184" s="1024"/>
      <c r="I184" s="1025"/>
      <c r="J184" s="1026"/>
      <c r="K184" s="1023"/>
      <c r="L184" s="1024"/>
      <c r="M184" s="1027"/>
      <c r="N184" s="1023"/>
      <c r="O184" s="1026"/>
      <c r="P184" s="1023"/>
      <c r="Q184" s="1026"/>
      <c r="R184" s="1023"/>
      <c r="S184" s="1026"/>
      <c r="T184" s="1023"/>
    </row>
    <row r="185" spans="1:22" s="776" customFormat="1" ht="17.100000000000001" customHeight="1" x14ac:dyDescent="0.2">
      <c r="A185" s="1683"/>
      <c r="B185" s="1644" t="s">
        <v>864</v>
      </c>
      <c r="C185" s="1626" t="s">
        <v>264</v>
      </c>
      <c r="D185" s="1626">
        <v>3005</v>
      </c>
      <c r="E185" s="792" t="s">
        <v>1178</v>
      </c>
      <c r="F185" s="785">
        <v>2500</v>
      </c>
      <c r="G185" s="786" t="s">
        <v>885</v>
      </c>
      <c r="H185" s="1260" t="s">
        <v>0</v>
      </c>
      <c r="I185" s="1628">
        <v>39289</v>
      </c>
      <c r="J185" s="1630">
        <v>0</v>
      </c>
      <c r="K185" s="1632" t="s">
        <v>120</v>
      </c>
      <c r="L185" s="787"/>
      <c r="M185" s="1296">
        <v>0</v>
      </c>
      <c r="N185" s="1295" t="s">
        <v>885</v>
      </c>
      <c r="O185" s="1294">
        <f>M185+(C4-J185)</f>
        <v>1192.5</v>
      </c>
      <c r="P185" s="1295" t="s">
        <v>885</v>
      </c>
      <c r="Q185" s="788">
        <f>I3+(F185-O185)</f>
        <v>2500</v>
      </c>
      <c r="R185" s="789" t="s">
        <v>885</v>
      </c>
      <c r="S185" s="790">
        <f>Q185-I3</f>
        <v>1307.5</v>
      </c>
      <c r="T185" s="791" t="s">
        <v>885</v>
      </c>
      <c r="U185" s="309" t="str">
        <f>IF(S:S&lt;=50,"ALERTA","")</f>
        <v/>
      </c>
      <c r="V185" s="1293"/>
    </row>
    <row r="186" spans="1:22" s="776" customFormat="1" ht="17.100000000000001" customHeight="1" thickBot="1" x14ac:dyDescent="0.25">
      <c r="A186" s="1683"/>
      <c r="B186" s="1645"/>
      <c r="C186" s="1627"/>
      <c r="D186" s="1627"/>
      <c r="E186" s="777"/>
      <c r="F186" s="778">
        <v>15</v>
      </c>
      <c r="G186" s="762" t="s">
        <v>200</v>
      </c>
      <c r="H186" s="763"/>
      <c r="I186" s="1629"/>
      <c r="J186" s="1631"/>
      <c r="K186" s="1633"/>
      <c r="L186" s="779"/>
      <c r="M186" s="1299">
        <f>I185-V187</f>
        <v>57</v>
      </c>
      <c r="N186" s="1298" t="s">
        <v>906</v>
      </c>
      <c r="O186" s="1297">
        <f>S1-V187</f>
        <v>2217</v>
      </c>
      <c r="P186" s="1298" t="s">
        <v>906</v>
      </c>
      <c r="Q186" s="1303">
        <v>44712</v>
      </c>
      <c r="R186" s="765"/>
      <c r="S186" s="778">
        <f>Q186-$S$1</f>
        <v>3263</v>
      </c>
      <c r="T186" s="764" t="s">
        <v>906</v>
      </c>
      <c r="U186" s="1272"/>
      <c r="V186" s="1292">
        <f>Q186-(365*15)</f>
        <v>39237</v>
      </c>
    </row>
    <row r="187" spans="1:22" ht="15.95" customHeight="1" x14ac:dyDescent="0.2">
      <c r="A187" s="1683"/>
      <c r="B187" s="1619" t="s">
        <v>281</v>
      </c>
      <c r="C187" s="1621" t="s">
        <v>1189</v>
      </c>
      <c r="D187" s="1621">
        <v>15004</v>
      </c>
      <c r="E187" s="1636" t="s">
        <v>1178</v>
      </c>
      <c r="F187" s="734">
        <v>2500</v>
      </c>
      <c r="G187" s="695" t="s">
        <v>885</v>
      </c>
      <c r="H187" s="1643" t="s">
        <v>0</v>
      </c>
      <c r="I187" s="1624">
        <v>39289</v>
      </c>
      <c r="J187" s="1625">
        <v>0</v>
      </c>
      <c r="K187" s="1623" t="s">
        <v>885</v>
      </c>
      <c r="L187" s="769"/>
      <c r="M187" s="1300">
        <v>0</v>
      </c>
      <c r="N187" s="1301" t="s">
        <v>885</v>
      </c>
      <c r="O187" s="1302">
        <f>M187+($I$3-J187)</f>
        <v>1192.5</v>
      </c>
      <c r="P187" s="1301" t="s">
        <v>885</v>
      </c>
      <c r="Q187" s="735">
        <f>F187+J187-M187</f>
        <v>2500</v>
      </c>
      <c r="R187" s="695" t="s">
        <v>885</v>
      </c>
      <c r="S187" s="735">
        <f>Q187-$I$3</f>
        <v>1307.5</v>
      </c>
      <c r="T187" s="695" t="s">
        <v>885</v>
      </c>
      <c r="V187" s="1291">
        <v>39232</v>
      </c>
    </row>
    <row r="188" spans="1:22" ht="15.95" customHeight="1" x14ac:dyDescent="0.2">
      <c r="A188" s="1683"/>
      <c r="B188" s="1620"/>
      <c r="C188" s="1622"/>
      <c r="D188" s="1622"/>
      <c r="E188" s="1639"/>
      <c r="F188" s="710">
        <v>15</v>
      </c>
      <c r="G188" s="692" t="s">
        <v>200</v>
      </c>
      <c r="H188" s="1638"/>
      <c r="I188" s="1612"/>
      <c r="J188" s="1614"/>
      <c r="K188" s="1616"/>
      <c r="L188" s="705"/>
      <c r="M188" s="1286">
        <v>57</v>
      </c>
      <c r="N188" s="1262" t="s">
        <v>906</v>
      </c>
      <c r="O188" s="783">
        <f>S1-V187</f>
        <v>2217</v>
      </c>
      <c r="P188" s="1262" t="s">
        <v>906</v>
      </c>
      <c r="Q188" s="720">
        <v>44712</v>
      </c>
      <c r="R188" s="692"/>
      <c r="S188" s="710">
        <f>Q188-$S$1</f>
        <v>3263</v>
      </c>
      <c r="T188" s="692" t="s">
        <v>906</v>
      </c>
      <c r="U188" s="309" t="str">
        <f t="shared" ref="U188:U211" si="58">IF(S:S&lt;=50,"ALERTA","")</f>
        <v/>
      </c>
    </row>
    <row r="189" spans="1:22" ht="30.2" customHeight="1" x14ac:dyDescent="0.2">
      <c r="A189" s="684"/>
      <c r="B189" s="830" t="s">
        <v>320</v>
      </c>
      <c r="C189" s="739">
        <v>9609000411</v>
      </c>
      <c r="D189" s="739">
        <v>731</v>
      </c>
      <c r="E189" s="682" t="s">
        <v>1178</v>
      </c>
      <c r="F189" s="701">
        <v>3000</v>
      </c>
      <c r="G189" s="690" t="s">
        <v>885</v>
      </c>
      <c r="H189" s="747" t="s">
        <v>1179</v>
      </c>
      <c r="I189" s="703">
        <v>39289</v>
      </c>
      <c r="J189" s="704">
        <v>0</v>
      </c>
      <c r="K189" s="690" t="s">
        <v>885</v>
      </c>
      <c r="L189" s="705"/>
      <c r="M189" s="698">
        <v>0</v>
      </c>
      <c r="N189" s="690" t="s">
        <v>885</v>
      </c>
      <c r="O189" s="704">
        <f t="shared" ref="O189:O197" si="59">M189+($I$3-J189)</f>
        <v>1192.5</v>
      </c>
      <c r="P189" s="690" t="s">
        <v>885</v>
      </c>
      <c r="Q189" s="698">
        <f t="shared" ref="Q189:Q196" si="60">F189+J189-M189</f>
        <v>3000</v>
      </c>
      <c r="R189" s="690" t="s">
        <v>885</v>
      </c>
      <c r="S189" s="704">
        <f t="shared" ref="S189:S196" si="61">Q189-$I$3</f>
        <v>1807.5</v>
      </c>
      <c r="T189" s="690" t="s">
        <v>885</v>
      </c>
      <c r="U189" s="309" t="str">
        <f t="shared" si="58"/>
        <v/>
      </c>
    </row>
    <row r="190" spans="1:22" ht="30.2" customHeight="1" x14ac:dyDescent="0.2">
      <c r="A190" s="684"/>
      <c r="B190" s="830" t="s">
        <v>321</v>
      </c>
      <c r="C190" s="739">
        <v>9609000411</v>
      </c>
      <c r="D190" s="739">
        <v>733</v>
      </c>
      <c r="E190" s="682" t="s">
        <v>1178</v>
      </c>
      <c r="F190" s="701">
        <v>3000</v>
      </c>
      <c r="G190" s="690" t="s">
        <v>885</v>
      </c>
      <c r="H190" s="747" t="s">
        <v>1179</v>
      </c>
      <c r="I190" s="703">
        <v>39289</v>
      </c>
      <c r="J190" s="704">
        <v>0</v>
      </c>
      <c r="K190" s="690" t="s">
        <v>885</v>
      </c>
      <c r="L190" s="705"/>
      <c r="M190" s="698">
        <v>0</v>
      </c>
      <c r="N190" s="690" t="s">
        <v>885</v>
      </c>
      <c r="O190" s="704">
        <f t="shared" si="59"/>
        <v>1192.5</v>
      </c>
      <c r="P190" s="690" t="s">
        <v>885</v>
      </c>
      <c r="Q190" s="698">
        <f t="shared" si="60"/>
        <v>3000</v>
      </c>
      <c r="R190" s="690" t="s">
        <v>885</v>
      </c>
      <c r="S190" s="704">
        <f t="shared" si="61"/>
        <v>1807.5</v>
      </c>
      <c r="T190" s="690" t="s">
        <v>885</v>
      </c>
      <c r="U190" s="309" t="str">
        <f t="shared" si="58"/>
        <v/>
      </c>
    </row>
    <row r="191" spans="1:22" ht="30.2" customHeight="1" x14ac:dyDescent="0.2">
      <c r="A191" s="684"/>
      <c r="B191" s="830" t="s">
        <v>322</v>
      </c>
      <c r="C191" s="739">
        <v>9609000341</v>
      </c>
      <c r="D191" s="739">
        <v>459</v>
      </c>
      <c r="E191" s="682" t="s">
        <v>1178</v>
      </c>
      <c r="F191" s="701">
        <v>5000</v>
      </c>
      <c r="G191" s="690" t="s">
        <v>885</v>
      </c>
      <c r="H191" s="747" t="s">
        <v>1179</v>
      </c>
      <c r="I191" s="703">
        <v>39289</v>
      </c>
      <c r="J191" s="704">
        <v>0</v>
      </c>
      <c r="K191" s="690" t="s">
        <v>885</v>
      </c>
      <c r="L191" s="705"/>
      <c r="M191" s="698">
        <v>0</v>
      </c>
      <c r="N191" s="690" t="s">
        <v>885</v>
      </c>
      <c r="O191" s="704">
        <f t="shared" si="59"/>
        <v>1192.5</v>
      </c>
      <c r="P191" s="690" t="s">
        <v>885</v>
      </c>
      <c r="Q191" s="698">
        <f t="shared" si="60"/>
        <v>5000</v>
      </c>
      <c r="R191" s="690" t="s">
        <v>885</v>
      </c>
      <c r="S191" s="704">
        <f t="shared" si="61"/>
        <v>3807.5</v>
      </c>
      <c r="T191" s="690" t="s">
        <v>885</v>
      </c>
      <c r="U191" s="309" t="str">
        <f t="shared" si="58"/>
        <v/>
      </c>
    </row>
    <row r="192" spans="1:22" ht="30.2" customHeight="1" x14ac:dyDescent="0.2">
      <c r="A192" s="684"/>
      <c r="B192" s="830" t="s">
        <v>323</v>
      </c>
      <c r="C192" s="739">
        <v>9609000342</v>
      </c>
      <c r="D192" s="739">
        <v>405</v>
      </c>
      <c r="E192" s="682" t="s">
        <v>1178</v>
      </c>
      <c r="F192" s="701">
        <v>5000</v>
      </c>
      <c r="G192" s="690" t="s">
        <v>885</v>
      </c>
      <c r="H192" s="747" t="s">
        <v>1179</v>
      </c>
      <c r="I192" s="703">
        <v>39289</v>
      </c>
      <c r="J192" s="704">
        <v>0</v>
      </c>
      <c r="K192" s="690" t="s">
        <v>885</v>
      </c>
      <c r="L192" s="705"/>
      <c r="M192" s="698">
        <v>0</v>
      </c>
      <c r="N192" s="690" t="s">
        <v>885</v>
      </c>
      <c r="O192" s="704">
        <f t="shared" si="59"/>
        <v>1192.5</v>
      </c>
      <c r="P192" s="690" t="s">
        <v>885</v>
      </c>
      <c r="Q192" s="698">
        <f t="shared" si="60"/>
        <v>5000</v>
      </c>
      <c r="R192" s="690" t="s">
        <v>885</v>
      </c>
      <c r="S192" s="704">
        <f t="shared" si="61"/>
        <v>3807.5</v>
      </c>
      <c r="T192" s="690" t="s">
        <v>885</v>
      </c>
      <c r="U192" s="309" t="str">
        <f t="shared" si="58"/>
        <v/>
      </c>
    </row>
    <row r="193" spans="1:21" ht="30.2" customHeight="1" x14ac:dyDescent="0.2">
      <c r="A193" s="684"/>
      <c r="B193" s="830" t="s">
        <v>324</v>
      </c>
      <c r="C193" s="739">
        <v>9609000311</v>
      </c>
      <c r="D193" s="739">
        <v>362</v>
      </c>
      <c r="E193" s="682" t="s">
        <v>1178</v>
      </c>
      <c r="F193" s="701">
        <v>5000</v>
      </c>
      <c r="G193" s="690" t="s">
        <v>885</v>
      </c>
      <c r="H193" s="747" t="s">
        <v>1179</v>
      </c>
      <c r="I193" s="703">
        <v>39289</v>
      </c>
      <c r="J193" s="704">
        <v>0</v>
      </c>
      <c r="K193" s="690" t="s">
        <v>885</v>
      </c>
      <c r="L193" s="705"/>
      <c r="M193" s="698">
        <v>0</v>
      </c>
      <c r="N193" s="690" t="s">
        <v>885</v>
      </c>
      <c r="O193" s="704">
        <f t="shared" si="59"/>
        <v>1192.5</v>
      </c>
      <c r="P193" s="690" t="s">
        <v>885</v>
      </c>
      <c r="Q193" s="698">
        <f t="shared" si="60"/>
        <v>5000</v>
      </c>
      <c r="R193" s="690" t="s">
        <v>885</v>
      </c>
      <c r="S193" s="704">
        <f t="shared" si="61"/>
        <v>3807.5</v>
      </c>
      <c r="T193" s="690" t="s">
        <v>885</v>
      </c>
      <c r="U193" s="309" t="str">
        <f t="shared" si="58"/>
        <v/>
      </c>
    </row>
    <row r="194" spans="1:21" ht="30.2" customHeight="1" x14ac:dyDescent="0.2">
      <c r="A194" s="684"/>
      <c r="B194" s="830" t="s">
        <v>325</v>
      </c>
      <c r="C194" s="739">
        <v>9609000697</v>
      </c>
      <c r="D194" s="739">
        <v>22</v>
      </c>
      <c r="E194" s="682" t="s">
        <v>1178</v>
      </c>
      <c r="F194" s="701">
        <v>2500</v>
      </c>
      <c r="G194" s="690" t="s">
        <v>885</v>
      </c>
      <c r="H194" s="747" t="s">
        <v>1179</v>
      </c>
      <c r="I194" s="703">
        <v>39289</v>
      </c>
      <c r="J194" s="704">
        <v>0</v>
      </c>
      <c r="K194" s="690" t="s">
        <v>885</v>
      </c>
      <c r="L194" s="705"/>
      <c r="M194" s="698">
        <v>0</v>
      </c>
      <c r="N194" s="690" t="s">
        <v>885</v>
      </c>
      <c r="O194" s="704">
        <f t="shared" si="59"/>
        <v>1192.5</v>
      </c>
      <c r="P194" s="690" t="s">
        <v>885</v>
      </c>
      <c r="Q194" s="698">
        <f t="shared" si="60"/>
        <v>2500</v>
      </c>
      <c r="R194" s="690" t="s">
        <v>885</v>
      </c>
      <c r="S194" s="704">
        <f t="shared" si="61"/>
        <v>1307.5</v>
      </c>
      <c r="T194" s="690" t="s">
        <v>885</v>
      </c>
      <c r="U194" s="309" t="str">
        <f t="shared" si="58"/>
        <v/>
      </c>
    </row>
    <row r="195" spans="1:21" ht="30.2" customHeight="1" x14ac:dyDescent="0.2">
      <c r="A195" s="684"/>
      <c r="B195" s="830" t="s">
        <v>326</v>
      </c>
      <c r="C195" s="739">
        <v>9609000310</v>
      </c>
      <c r="D195" s="739">
        <v>327</v>
      </c>
      <c r="E195" s="682" t="s">
        <v>1178</v>
      </c>
      <c r="F195" s="701">
        <v>5000</v>
      </c>
      <c r="G195" s="690" t="s">
        <v>885</v>
      </c>
      <c r="H195" s="747" t="s">
        <v>1179</v>
      </c>
      <c r="I195" s="703">
        <v>39289</v>
      </c>
      <c r="J195" s="704">
        <v>0</v>
      </c>
      <c r="K195" s="690" t="s">
        <v>885</v>
      </c>
      <c r="L195" s="705"/>
      <c r="M195" s="698">
        <v>0</v>
      </c>
      <c r="N195" s="690" t="s">
        <v>885</v>
      </c>
      <c r="O195" s="704">
        <f t="shared" si="59"/>
        <v>1192.5</v>
      </c>
      <c r="P195" s="690" t="s">
        <v>885</v>
      </c>
      <c r="Q195" s="698">
        <f t="shared" si="60"/>
        <v>5000</v>
      </c>
      <c r="R195" s="690" t="s">
        <v>885</v>
      </c>
      <c r="S195" s="704">
        <f t="shared" si="61"/>
        <v>3807.5</v>
      </c>
      <c r="T195" s="690" t="s">
        <v>885</v>
      </c>
      <c r="U195" s="309" t="str">
        <f t="shared" si="58"/>
        <v/>
      </c>
    </row>
    <row r="196" spans="1:21" ht="30.2" customHeight="1" x14ac:dyDescent="0.2">
      <c r="A196" s="684"/>
      <c r="B196" s="830" t="s">
        <v>327</v>
      </c>
      <c r="C196" s="739">
        <v>9606490501</v>
      </c>
      <c r="D196" s="782" t="s">
        <v>1326</v>
      </c>
      <c r="E196" s="682" t="s">
        <v>1178</v>
      </c>
      <c r="F196" s="701">
        <v>5000</v>
      </c>
      <c r="G196" s="690" t="s">
        <v>885</v>
      </c>
      <c r="H196" s="747" t="s">
        <v>1179</v>
      </c>
      <c r="I196" s="703">
        <v>39289</v>
      </c>
      <c r="J196" s="704">
        <v>0</v>
      </c>
      <c r="K196" s="690" t="s">
        <v>885</v>
      </c>
      <c r="L196" s="705"/>
      <c r="M196" s="698">
        <v>0</v>
      </c>
      <c r="N196" s="690" t="s">
        <v>885</v>
      </c>
      <c r="O196" s="704">
        <f t="shared" si="59"/>
        <v>1192.5</v>
      </c>
      <c r="P196" s="690" t="s">
        <v>885</v>
      </c>
      <c r="Q196" s="698">
        <f t="shared" si="60"/>
        <v>5000</v>
      </c>
      <c r="R196" s="690" t="s">
        <v>885</v>
      </c>
      <c r="S196" s="704">
        <f t="shared" si="61"/>
        <v>3807.5</v>
      </c>
      <c r="T196" s="690" t="s">
        <v>885</v>
      </c>
      <c r="U196" s="309" t="str">
        <f t="shared" si="58"/>
        <v/>
      </c>
    </row>
    <row r="197" spans="1:21" ht="15.95" customHeight="1" x14ac:dyDescent="0.2">
      <c r="A197" s="1683"/>
      <c r="B197" s="1642" t="s">
        <v>280</v>
      </c>
      <c r="C197" s="1634" t="s">
        <v>1190</v>
      </c>
      <c r="D197" s="1634">
        <v>26505</v>
      </c>
      <c r="E197" s="1635" t="s">
        <v>1178</v>
      </c>
      <c r="F197" s="707">
        <v>2500</v>
      </c>
      <c r="G197" s="691" t="s">
        <v>885</v>
      </c>
      <c r="H197" s="1637" t="s">
        <v>0</v>
      </c>
      <c r="I197" s="1611">
        <v>39289</v>
      </c>
      <c r="J197" s="1613">
        <v>0</v>
      </c>
      <c r="K197" s="1615" t="s">
        <v>885</v>
      </c>
      <c r="L197" s="705"/>
      <c r="M197" s="772">
        <v>0</v>
      </c>
      <c r="N197" s="1261" t="s">
        <v>885</v>
      </c>
      <c r="O197" s="771">
        <f t="shared" si="59"/>
        <v>1192.5</v>
      </c>
      <c r="P197" s="1261" t="s">
        <v>885</v>
      </c>
      <c r="Q197" s="730">
        <f>F197+J197-M197</f>
        <v>2500</v>
      </c>
      <c r="R197" s="691" t="s">
        <v>885</v>
      </c>
      <c r="S197" s="730">
        <f>Q197-$I$3</f>
        <v>1307.5</v>
      </c>
      <c r="T197" s="691" t="s">
        <v>885</v>
      </c>
      <c r="U197" s="309" t="str">
        <f t="shared" si="58"/>
        <v/>
      </c>
    </row>
    <row r="198" spans="1:21" ht="15.95" customHeight="1" x14ac:dyDescent="0.2">
      <c r="A198" s="1683"/>
      <c r="B198" s="1620"/>
      <c r="C198" s="1622"/>
      <c r="D198" s="1622"/>
      <c r="E198" s="1639"/>
      <c r="F198" s="710">
        <v>15</v>
      </c>
      <c r="G198" s="692" t="s">
        <v>200</v>
      </c>
      <c r="H198" s="1638"/>
      <c r="I198" s="1612"/>
      <c r="J198" s="1614"/>
      <c r="K198" s="1616"/>
      <c r="L198" s="705"/>
      <c r="M198" s="1286">
        <v>57</v>
      </c>
      <c r="N198" s="1262" t="s">
        <v>906</v>
      </c>
      <c r="O198" s="783">
        <f>S1-V187</f>
        <v>2217</v>
      </c>
      <c r="P198" s="1262" t="s">
        <v>906</v>
      </c>
      <c r="Q198" s="720">
        <v>44712</v>
      </c>
      <c r="R198" s="692"/>
      <c r="S198" s="710">
        <f>Q198-$S$1</f>
        <v>3263</v>
      </c>
      <c r="T198" s="692" t="s">
        <v>906</v>
      </c>
      <c r="U198" s="309" t="str">
        <f t="shared" si="58"/>
        <v/>
      </c>
    </row>
    <row r="199" spans="1:21" ht="30.2" customHeight="1" x14ac:dyDescent="0.2">
      <c r="A199" s="684"/>
      <c r="B199" s="983" t="s">
        <v>328</v>
      </c>
      <c r="C199" s="781" t="s">
        <v>1169</v>
      </c>
      <c r="D199" s="814" t="s">
        <v>1191</v>
      </c>
      <c r="E199" s="738" t="s">
        <v>1171</v>
      </c>
      <c r="F199" s="710">
        <v>8000</v>
      </c>
      <c r="G199" s="692" t="s">
        <v>963</v>
      </c>
      <c r="H199" s="780" t="s">
        <v>1021</v>
      </c>
      <c r="I199" s="703">
        <v>39289</v>
      </c>
      <c r="J199" s="704">
        <v>0</v>
      </c>
      <c r="K199" s="692" t="s">
        <v>963</v>
      </c>
      <c r="L199" s="705"/>
      <c r="M199" s="698">
        <v>0</v>
      </c>
      <c r="N199" s="692" t="s">
        <v>963</v>
      </c>
      <c r="O199" s="704">
        <f>M199+($I$4-J199)</f>
        <v>904.85</v>
      </c>
      <c r="P199" s="692" t="s">
        <v>963</v>
      </c>
      <c r="Q199" s="698">
        <f t="shared" ref="Q199:Q209" si="62">F199+J199-M199</f>
        <v>8000</v>
      </c>
      <c r="R199" s="692" t="s">
        <v>963</v>
      </c>
      <c r="S199" s="704">
        <f>Q199-$I$4</f>
        <v>7095.15</v>
      </c>
      <c r="T199" s="692" t="s">
        <v>963</v>
      </c>
      <c r="U199" s="309" t="str">
        <f t="shared" si="58"/>
        <v/>
      </c>
    </row>
    <row r="200" spans="1:21" ht="30.2" customHeight="1" x14ac:dyDescent="0.2">
      <c r="A200" s="684"/>
      <c r="B200" s="983" t="s">
        <v>209</v>
      </c>
      <c r="C200" s="1063">
        <v>2319200010</v>
      </c>
      <c r="D200" s="814" t="s">
        <v>1192</v>
      </c>
      <c r="E200" s="738" t="s">
        <v>1171</v>
      </c>
      <c r="F200" s="710">
        <v>16000</v>
      </c>
      <c r="G200" s="692" t="s">
        <v>963</v>
      </c>
      <c r="H200" s="780" t="s">
        <v>1021</v>
      </c>
      <c r="I200" s="703">
        <v>39289</v>
      </c>
      <c r="J200" s="704">
        <v>0</v>
      </c>
      <c r="K200" s="692" t="s">
        <v>963</v>
      </c>
      <c r="L200" s="705"/>
      <c r="M200" s="698">
        <v>0</v>
      </c>
      <c r="N200" s="692" t="s">
        <v>963</v>
      </c>
      <c r="O200" s="704">
        <f>M200+($I$4-J200)</f>
        <v>904.85</v>
      </c>
      <c r="P200" s="692" t="s">
        <v>963</v>
      </c>
      <c r="Q200" s="698">
        <f t="shared" si="62"/>
        <v>16000</v>
      </c>
      <c r="R200" s="692" t="s">
        <v>963</v>
      </c>
      <c r="S200" s="704">
        <f>Q200-$I$4</f>
        <v>15095.15</v>
      </c>
      <c r="T200" s="692" t="s">
        <v>963</v>
      </c>
      <c r="U200" s="309" t="str">
        <f t="shared" si="58"/>
        <v/>
      </c>
    </row>
    <row r="201" spans="1:21" ht="30.2" customHeight="1" x14ac:dyDescent="0.2">
      <c r="A201" s="684"/>
      <c r="B201" s="983" t="s">
        <v>1170</v>
      </c>
      <c r="C201" s="713">
        <v>2319402900</v>
      </c>
      <c r="D201" s="814" t="s">
        <v>1195</v>
      </c>
      <c r="E201" s="738" t="s">
        <v>1171</v>
      </c>
      <c r="F201" s="710">
        <v>7000</v>
      </c>
      <c r="G201" s="692" t="s">
        <v>963</v>
      </c>
      <c r="H201" s="780" t="s">
        <v>1021</v>
      </c>
      <c r="I201" s="703">
        <v>39289</v>
      </c>
      <c r="J201" s="704">
        <v>0</v>
      </c>
      <c r="K201" s="692" t="s">
        <v>963</v>
      </c>
      <c r="L201" s="705"/>
      <c r="M201" s="698">
        <v>0</v>
      </c>
      <c r="N201" s="692" t="s">
        <v>963</v>
      </c>
      <c r="O201" s="704">
        <f>M201+($I$4-J201)</f>
        <v>904.85</v>
      </c>
      <c r="P201" s="692" t="s">
        <v>963</v>
      </c>
      <c r="Q201" s="698">
        <f t="shared" si="62"/>
        <v>7000</v>
      </c>
      <c r="R201" s="692" t="s">
        <v>963</v>
      </c>
      <c r="S201" s="704">
        <f>Q201-$I$4</f>
        <v>6095.15</v>
      </c>
      <c r="T201" s="692" t="s">
        <v>963</v>
      </c>
      <c r="U201" s="309" t="str">
        <f t="shared" si="58"/>
        <v/>
      </c>
    </row>
    <row r="202" spans="1:21" ht="30.2" customHeight="1" x14ac:dyDescent="0.2">
      <c r="A202" s="684"/>
      <c r="B202" s="983" t="s">
        <v>329</v>
      </c>
      <c r="C202" s="781" t="s">
        <v>330</v>
      </c>
      <c r="D202" s="814" t="s">
        <v>1194</v>
      </c>
      <c r="E202" s="738" t="s">
        <v>1171</v>
      </c>
      <c r="F202" s="710">
        <v>16000</v>
      </c>
      <c r="G202" s="692" t="s">
        <v>963</v>
      </c>
      <c r="H202" s="780" t="s">
        <v>1021</v>
      </c>
      <c r="I202" s="703">
        <v>39289</v>
      </c>
      <c r="J202" s="704">
        <v>0</v>
      </c>
      <c r="K202" s="692" t="s">
        <v>963</v>
      </c>
      <c r="L202" s="705"/>
      <c r="M202" s="698">
        <v>0</v>
      </c>
      <c r="N202" s="692" t="s">
        <v>963</v>
      </c>
      <c r="O202" s="704">
        <f>M202+($I$4-J202)</f>
        <v>904.85</v>
      </c>
      <c r="P202" s="692" t="s">
        <v>963</v>
      </c>
      <c r="Q202" s="698">
        <f t="shared" si="62"/>
        <v>16000</v>
      </c>
      <c r="R202" s="692" t="s">
        <v>963</v>
      </c>
      <c r="S202" s="704">
        <f>Q202-$I$4</f>
        <v>15095.15</v>
      </c>
      <c r="T202" s="692" t="s">
        <v>963</v>
      </c>
      <c r="U202" s="309" t="str">
        <f t="shared" si="58"/>
        <v/>
      </c>
    </row>
    <row r="203" spans="1:21" ht="30.2" customHeight="1" x14ac:dyDescent="0.2">
      <c r="A203" s="684"/>
      <c r="B203" s="983" t="s">
        <v>331</v>
      </c>
      <c r="C203" s="781" t="s">
        <v>332</v>
      </c>
      <c r="D203" s="713">
        <v>359</v>
      </c>
      <c r="E203" s="682" t="s">
        <v>1178</v>
      </c>
      <c r="F203" s="701">
        <v>5000</v>
      </c>
      <c r="G203" s="690" t="s">
        <v>885</v>
      </c>
      <c r="H203" s="747" t="s">
        <v>1179</v>
      </c>
      <c r="I203" s="703">
        <v>39289</v>
      </c>
      <c r="J203" s="704">
        <v>0</v>
      </c>
      <c r="K203" s="690" t="s">
        <v>885</v>
      </c>
      <c r="L203" s="705"/>
      <c r="M203" s="698">
        <v>0</v>
      </c>
      <c r="N203" s="690" t="s">
        <v>885</v>
      </c>
      <c r="O203" s="704">
        <f>M203+($I$3-J203)</f>
        <v>1192.5</v>
      </c>
      <c r="P203" s="690" t="s">
        <v>885</v>
      </c>
      <c r="Q203" s="698">
        <f t="shared" si="62"/>
        <v>5000</v>
      </c>
      <c r="R203" s="690" t="s">
        <v>885</v>
      </c>
      <c r="S203" s="704">
        <f>Q203-$I$3</f>
        <v>3807.5</v>
      </c>
      <c r="T203" s="690" t="s">
        <v>885</v>
      </c>
      <c r="U203" s="309" t="str">
        <f t="shared" si="58"/>
        <v/>
      </c>
    </row>
    <row r="204" spans="1:21" ht="30.2" customHeight="1" x14ac:dyDescent="0.2">
      <c r="A204" s="684"/>
      <c r="B204" s="830" t="s">
        <v>210</v>
      </c>
      <c r="C204" s="782" t="s">
        <v>336</v>
      </c>
      <c r="D204" s="739">
        <v>366</v>
      </c>
      <c r="E204" s="682" t="s">
        <v>1178</v>
      </c>
      <c r="F204" s="701">
        <v>2500</v>
      </c>
      <c r="G204" s="690" t="s">
        <v>885</v>
      </c>
      <c r="H204" s="747" t="s">
        <v>1179</v>
      </c>
      <c r="I204" s="703">
        <v>39289</v>
      </c>
      <c r="J204" s="704">
        <v>0</v>
      </c>
      <c r="K204" s="690" t="s">
        <v>885</v>
      </c>
      <c r="L204" s="705"/>
      <c r="M204" s="698">
        <v>0</v>
      </c>
      <c r="N204" s="690" t="s">
        <v>885</v>
      </c>
      <c r="O204" s="704">
        <f>M204+($I$3-J204)</f>
        <v>1192.5</v>
      </c>
      <c r="P204" s="690" t="s">
        <v>885</v>
      </c>
      <c r="Q204" s="698">
        <f t="shared" si="62"/>
        <v>2500</v>
      </c>
      <c r="R204" s="690" t="s">
        <v>885</v>
      </c>
      <c r="S204" s="704">
        <f>Q204-$I$3</f>
        <v>1307.5</v>
      </c>
      <c r="T204" s="690" t="s">
        <v>885</v>
      </c>
      <c r="U204" s="309" t="str">
        <f t="shared" si="58"/>
        <v/>
      </c>
    </row>
    <row r="205" spans="1:21" ht="30.2" customHeight="1" x14ac:dyDescent="0.2">
      <c r="A205" s="684"/>
      <c r="B205" s="830" t="s">
        <v>333</v>
      </c>
      <c r="C205" s="782" t="s">
        <v>334</v>
      </c>
      <c r="D205" s="739">
        <v>482</v>
      </c>
      <c r="E205" s="682" t="s">
        <v>1178</v>
      </c>
      <c r="F205" s="701">
        <v>2500</v>
      </c>
      <c r="G205" s="690" t="s">
        <v>885</v>
      </c>
      <c r="H205" s="747" t="s">
        <v>1179</v>
      </c>
      <c r="I205" s="703">
        <v>39289</v>
      </c>
      <c r="J205" s="704">
        <v>0</v>
      </c>
      <c r="K205" s="690" t="s">
        <v>885</v>
      </c>
      <c r="L205" s="705"/>
      <c r="M205" s="698">
        <v>0</v>
      </c>
      <c r="N205" s="690" t="s">
        <v>885</v>
      </c>
      <c r="O205" s="704">
        <f>M205+($I$3-J205)</f>
        <v>1192.5</v>
      </c>
      <c r="P205" s="690" t="s">
        <v>885</v>
      </c>
      <c r="Q205" s="698">
        <f t="shared" si="62"/>
        <v>2500</v>
      </c>
      <c r="R205" s="690" t="s">
        <v>885</v>
      </c>
      <c r="S205" s="704">
        <f>Q205-$I$3</f>
        <v>1307.5</v>
      </c>
      <c r="T205" s="690" t="s">
        <v>885</v>
      </c>
      <c r="U205" s="309" t="str">
        <f t="shared" si="58"/>
        <v/>
      </c>
    </row>
    <row r="206" spans="1:21" ht="15.95" customHeight="1" x14ac:dyDescent="0.2">
      <c r="A206" s="1683"/>
      <c r="B206" s="1642" t="s">
        <v>211</v>
      </c>
      <c r="C206" s="1634" t="s">
        <v>1181</v>
      </c>
      <c r="D206" s="1634" t="s">
        <v>1193</v>
      </c>
      <c r="E206" s="980" t="s">
        <v>1178</v>
      </c>
      <c r="F206" s="707">
        <v>6500</v>
      </c>
      <c r="G206" s="976" t="s">
        <v>885</v>
      </c>
      <c r="H206" s="988" t="s">
        <v>1179</v>
      </c>
      <c r="I206" s="1611">
        <v>39289</v>
      </c>
      <c r="J206" s="974">
        <v>0</v>
      </c>
      <c r="K206" s="976" t="s">
        <v>885</v>
      </c>
      <c r="L206" s="971"/>
      <c r="M206" s="978">
        <v>0</v>
      </c>
      <c r="N206" s="976" t="s">
        <v>885</v>
      </c>
      <c r="O206" s="974">
        <f>M206+($I$3-J206)</f>
        <v>1192.5</v>
      </c>
      <c r="P206" s="976" t="s">
        <v>885</v>
      </c>
      <c r="Q206" s="978">
        <f t="shared" si="62"/>
        <v>6500</v>
      </c>
      <c r="R206" s="976" t="s">
        <v>885</v>
      </c>
      <c r="S206" s="974">
        <f>Q206-$I$3</f>
        <v>5307.5</v>
      </c>
      <c r="T206" s="976" t="s">
        <v>885</v>
      </c>
      <c r="U206" s="309" t="str">
        <f t="shared" si="58"/>
        <v/>
      </c>
    </row>
    <row r="207" spans="1:21" ht="15.95" customHeight="1" x14ac:dyDescent="0.2">
      <c r="A207" s="1683"/>
      <c r="B207" s="1620"/>
      <c r="C207" s="1622"/>
      <c r="D207" s="1622"/>
      <c r="E207" s="688">
        <v>72</v>
      </c>
      <c r="F207" s="710">
        <v>10000</v>
      </c>
      <c r="G207" s="977" t="s">
        <v>963</v>
      </c>
      <c r="H207" s="325" t="s">
        <v>1179</v>
      </c>
      <c r="I207" s="1612"/>
      <c r="J207" s="975">
        <v>0</v>
      </c>
      <c r="K207" s="977" t="s">
        <v>963</v>
      </c>
      <c r="L207" s="972"/>
      <c r="M207" s="979">
        <v>0</v>
      </c>
      <c r="N207" s="977" t="s">
        <v>963</v>
      </c>
      <c r="O207" s="975">
        <f>M207+($I$4-J207)</f>
        <v>904.85</v>
      </c>
      <c r="P207" s="977" t="s">
        <v>963</v>
      </c>
      <c r="Q207" s="979">
        <f t="shared" si="62"/>
        <v>10000</v>
      </c>
      <c r="R207" s="977" t="s">
        <v>963</v>
      </c>
      <c r="S207" s="975">
        <f>Q207-$I$4</f>
        <v>9095.15</v>
      </c>
      <c r="T207" s="977" t="s">
        <v>963</v>
      </c>
      <c r="U207" s="309" t="str">
        <f t="shared" si="58"/>
        <v/>
      </c>
    </row>
    <row r="208" spans="1:21" ht="15.95" customHeight="1" x14ac:dyDescent="0.2">
      <c r="A208" s="1683"/>
      <c r="B208" s="1642" t="s">
        <v>1180</v>
      </c>
      <c r="C208" s="1634" t="s">
        <v>335</v>
      </c>
      <c r="D208" s="1634" t="s">
        <v>1196</v>
      </c>
      <c r="E208" s="737" t="s">
        <v>1178</v>
      </c>
      <c r="F208" s="707">
        <v>5000</v>
      </c>
      <c r="G208" s="691" t="s">
        <v>885</v>
      </c>
      <c r="H208" s="748" t="s">
        <v>1179</v>
      </c>
      <c r="I208" s="1611">
        <v>39289</v>
      </c>
      <c r="J208" s="730">
        <v>0</v>
      </c>
      <c r="K208" s="691" t="s">
        <v>885</v>
      </c>
      <c r="L208" s="731"/>
      <c r="M208" s="732">
        <v>0</v>
      </c>
      <c r="N208" s="691" t="s">
        <v>885</v>
      </c>
      <c r="O208" s="831">
        <f>M208+($I$3-J208)</f>
        <v>1192.5</v>
      </c>
      <c r="P208" s="691" t="s">
        <v>885</v>
      </c>
      <c r="Q208" s="732">
        <f t="shared" si="62"/>
        <v>5000</v>
      </c>
      <c r="R208" s="691" t="s">
        <v>885</v>
      </c>
      <c r="S208" s="730">
        <f>Q208-$I$3</f>
        <v>3807.5</v>
      </c>
      <c r="T208" s="691" t="s">
        <v>885</v>
      </c>
      <c r="U208" s="309" t="str">
        <f t="shared" si="58"/>
        <v/>
      </c>
    </row>
    <row r="209" spans="1:22" ht="15.95" customHeight="1" x14ac:dyDescent="0.2">
      <c r="A209" s="1683"/>
      <c r="B209" s="1620"/>
      <c r="C209" s="1622"/>
      <c r="D209" s="1622"/>
      <c r="E209" s="688">
        <v>72</v>
      </c>
      <c r="F209" s="710">
        <v>10000</v>
      </c>
      <c r="G209" s="692" t="s">
        <v>963</v>
      </c>
      <c r="H209" s="325" t="s">
        <v>1179</v>
      </c>
      <c r="I209" s="1612"/>
      <c r="J209" s="718">
        <v>0</v>
      </c>
      <c r="K209" s="692" t="s">
        <v>963</v>
      </c>
      <c r="L209" s="769"/>
      <c r="M209" s="719">
        <v>0</v>
      </c>
      <c r="N209" s="692" t="s">
        <v>963</v>
      </c>
      <c r="O209" s="832">
        <f>M209+($I$4-J209)</f>
        <v>904.85</v>
      </c>
      <c r="P209" s="692" t="s">
        <v>963</v>
      </c>
      <c r="Q209" s="719">
        <f t="shared" si="62"/>
        <v>10000</v>
      </c>
      <c r="R209" s="692" t="s">
        <v>963</v>
      </c>
      <c r="S209" s="718">
        <f>Q209-$I$4</f>
        <v>9095.15</v>
      </c>
      <c r="T209" s="692" t="s">
        <v>963</v>
      </c>
      <c r="U209" s="309" t="str">
        <f t="shared" si="58"/>
        <v/>
      </c>
    </row>
    <row r="210" spans="1:22" ht="30.2" customHeight="1" x14ac:dyDescent="0.2">
      <c r="A210" s="684"/>
      <c r="B210" s="830" t="s">
        <v>285</v>
      </c>
      <c r="C210" s="782" t="s">
        <v>1198</v>
      </c>
      <c r="D210" s="739">
        <v>106</v>
      </c>
      <c r="E210" s="682" t="s">
        <v>1178</v>
      </c>
      <c r="F210" s="701">
        <v>2500</v>
      </c>
      <c r="G210" s="690" t="s">
        <v>885</v>
      </c>
      <c r="H210" s="747" t="s">
        <v>0</v>
      </c>
      <c r="I210" s="703">
        <v>39289</v>
      </c>
      <c r="J210" s="718">
        <v>0</v>
      </c>
      <c r="K210" s="690" t="s">
        <v>885</v>
      </c>
      <c r="L210" s="705"/>
      <c r="M210" s="719">
        <v>0</v>
      </c>
      <c r="N210" s="690" t="s">
        <v>885</v>
      </c>
      <c r="O210" s="783">
        <f>M210+($I$3-J210)</f>
        <v>1192.5</v>
      </c>
      <c r="P210" s="690" t="s">
        <v>885</v>
      </c>
      <c r="Q210" s="710">
        <f>(F210-O210)+$I$3</f>
        <v>2500</v>
      </c>
      <c r="R210" s="690" t="s">
        <v>885</v>
      </c>
      <c r="S210" s="718">
        <f>Q210-$I$3</f>
        <v>1307.5</v>
      </c>
      <c r="T210" s="690" t="s">
        <v>885</v>
      </c>
      <c r="U210" s="309" t="str">
        <f t="shared" si="58"/>
        <v/>
      </c>
    </row>
    <row r="211" spans="1:22" ht="15.95" customHeight="1" x14ac:dyDescent="0.2">
      <c r="A211" s="1683"/>
      <c r="B211" s="1642" t="s">
        <v>286</v>
      </c>
      <c r="C211" s="1648" t="s">
        <v>1197</v>
      </c>
      <c r="D211" s="1634">
        <v>2009</v>
      </c>
      <c r="E211" s="1635" t="s">
        <v>1178</v>
      </c>
      <c r="F211" s="707">
        <v>2500</v>
      </c>
      <c r="G211" s="691" t="s">
        <v>885</v>
      </c>
      <c r="H211" s="1637" t="s">
        <v>0</v>
      </c>
      <c r="I211" s="1611">
        <v>41089</v>
      </c>
      <c r="J211" s="1613">
        <v>1003.4</v>
      </c>
      <c r="K211" s="1615" t="s">
        <v>885</v>
      </c>
      <c r="L211" s="705"/>
      <c r="M211" s="772">
        <v>0</v>
      </c>
      <c r="N211" s="1261" t="s">
        <v>885</v>
      </c>
      <c r="O211" s="771">
        <f>M211+($I$3-J211)</f>
        <v>189.10000000000002</v>
      </c>
      <c r="P211" s="1261" t="s">
        <v>885</v>
      </c>
      <c r="Q211" s="730">
        <f>(F211-O211)+$I$3</f>
        <v>3503.4</v>
      </c>
      <c r="R211" s="691" t="s">
        <v>885</v>
      </c>
      <c r="S211" s="730">
        <f>Q211-$I$3</f>
        <v>2310.9</v>
      </c>
      <c r="T211" s="691" t="s">
        <v>885</v>
      </c>
      <c r="U211" s="309" t="str">
        <f t="shared" si="58"/>
        <v/>
      </c>
    </row>
    <row r="212" spans="1:22" ht="15.95" customHeight="1" x14ac:dyDescent="0.2">
      <c r="A212" s="1683"/>
      <c r="B212" s="1620"/>
      <c r="C212" s="1649"/>
      <c r="D212" s="1622"/>
      <c r="E212" s="1639"/>
      <c r="F212" s="710">
        <v>10</v>
      </c>
      <c r="G212" s="692" t="s">
        <v>200</v>
      </c>
      <c r="H212" s="1638"/>
      <c r="I212" s="1612"/>
      <c r="J212" s="1614"/>
      <c r="K212" s="1616"/>
      <c r="L212" s="705"/>
      <c r="M212" s="1286">
        <f>I211-V212</f>
        <v>0</v>
      </c>
      <c r="N212" s="1262" t="s">
        <v>906</v>
      </c>
      <c r="O212" s="783">
        <f>S1-V212</f>
        <v>360</v>
      </c>
      <c r="P212" s="1262"/>
      <c r="Q212" s="720">
        <v>44741</v>
      </c>
      <c r="R212" s="692"/>
      <c r="S212" s="710">
        <f>Q212-$S$1</f>
        <v>3292</v>
      </c>
      <c r="T212" s="692" t="s">
        <v>906</v>
      </c>
      <c r="U212" s="1272"/>
      <c r="V212" s="1291">
        <v>41089</v>
      </c>
    </row>
    <row r="213" spans="1:22" ht="30.2" customHeight="1" x14ac:dyDescent="0.2">
      <c r="A213" s="684"/>
      <c r="B213" s="815" t="s">
        <v>288</v>
      </c>
      <c r="C213" s="816" t="s">
        <v>1199</v>
      </c>
      <c r="D213" s="813" t="s">
        <v>1200</v>
      </c>
      <c r="E213" s="682" t="s">
        <v>1178</v>
      </c>
      <c r="F213" s="701">
        <v>1250</v>
      </c>
      <c r="G213" s="690" t="s">
        <v>885</v>
      </c>
      <c r="H213" s="702" t="s">
        <v>0</v>
      </c>
      <c r="I213" s="703">
        <v>39289</v>
      </c>
      <c r="J213" s="704">
        <v>0</v>
      </c>
      <c r="K213" s="690" t="s">
        <v>885</v>
      </c>
      <c r="L213" s="705"/>
      <c r="M213" s="698">
        <v>0</v>
      </c>
      <c r="N213" s="690" t="s">
        <v>885</v>
      </c>
      <c r="O213" s="704">
        <f>M213+($I$3-J213)</f>
        <v>1192.5</v>
      </c>
      <c r="P213" s="690" t="s">
        <v>885</v>
      </c>
      <c r="Q213" s="704">
        <f>(F213-O213)+$I$3</f>
        <v>1250</v>
      </c>
      <c r="R213" s="690" t="s">
        <v>885</v>
      </c>
      <c r="S213" s="704">
        <f>Q213-$I$3</f>
        <v>57.5</v>
      </c>
      <c r="T213" s="690" t="s">
        <v>885</v>
      </c>
    </row>
    <row r="214" spans="1:22" ht="30.2" customHeight="1" x14ac:dyDescent="0.2">
      <c r="A214" s="684"/>
      <c r="B214" s="815" t="s">
        <v>288</v>
      </c>
      <c r="C214" s="816" t="s">
        <v>1199</v>
      </c>
      <c r="D214" s="813" t="s">
        <v>1201</v>
      </c>
      <c r="E214" s="682" t="s">
        <v>1178</v>
      </c>
      <c r="F214" s="701">
        <v>1250</v>
      </c>
      <c r="G214" s="690" t="s">
        <v>885</v>
      </c>
      <c r="H214" s="702" t="s">
        <v>0</v>
      </c>
      <c r="I214" s="703">
        <v>39289</v>
      </c>
      <c r="J214" s="704">
        <v>0</v>
      </c>
      <c r="K214" s="690" t="s">
        <v>885</v>
      </c>
      <c r="L214" s="705"/>
      <c r="M214" s="698">
        <v>0</v>
      </c>
      <c r="N214" s="690" t="s">
        <v>885</v>
      </c>
      <c r="O214" s="704">
        <f t="shared" ref="O214:O223" si="63">M214+($I$3-J214)</f>
        <v>1192.5</v>
      </c>
      <c r="P214" s="690" t="s">
        <v>885</v>
      </c>
      <c r="Q214" s="704">
        <f t="shared" ref="Q214:Q223" si="64">(F214-O214)+$I$3</f>
        <v>1250</v>
      </c>
      <c r="R214" s="690" t="s">
        <v>885</v>
      </c>
      <c r="S214" s="704">
        <f t="shared" ref="S214:S223" si="65">Q214-$I$3</f>
        <v>57.5</v>
      </c>
      <c r="T214" s="690" t="s">
        <v>885</v>
      </c>
      <c r="U214" s="309" t="str">
        <f t="shared" ref="U214:U222" si="66">IF(S:S&lt;=50,"ALERTA","")</f>
        <v/>
      </c>
    </row>
    <row r="215" spans="1:22" ht="30.2" customHeight="1" x14ac:dyDescent="0.2">
      <c r="A215" s="684"/>
      <c r="B215" s="815" t="s">
        <v>288</v>
      </c>
      <c r="C215" s="816" t="s">
        <v>1199</v>
      </c>
      <c r="D215" s="813" t="s">
        <v>1202</v>
      </c>
      <c r="E215" s="682" t="s">
        <v>1178</v>
      </c>
      <c r="F215" s="701">
        <v>1250</v>
      </c>
      <c r="G215" s="690" t="s">
        <v>885</v>
      </c>
      <c r="H215" s="702" t="s">
        <v>0</v>
      </c>
      <c r="I215" s="703">
        <v>39289</v>
      </c>
      <c r="J215" s="704">
        <v>0</v>
      </c>
      <c r="K215" s="690" t="s">
        <v>885</v>
      </c>
      <c r="L215" s="705"/>
      <c r="M215" s="698">
        <v>0</v>
      </c>
      <c r="N215" s="690" t="s">
        <v>885</v>
      </c>
      <c r="O215" s="704">
        <f t="shared" si="63"/>
        <v>1192.5</v>
      </c>
      <c r="P215" s="690" t="s">
        <v>885</v>
      </c>
      <c r="Q215" s="704">
        <f t="shared" si="64"/>
        <v>1250</v>
      </c>
      <c r="R215" s="690" t="s">
        <v>885</v>
      </c>
      <c r="S215" s="704">
        <f t="shared" si="65"/>
        <v>57.5</v>
      </c>
      <c r="T215" s="690" t="s">
        <v>885</v>
      </c>
      <c r="U215" s="309" t="str">
        <f t="shared" si="66"/>
        <v/>
      </c>
    </row>
    <row r="216" spans="1:22" ht="30.2" customHeight="1" x14ac:dyDescent="0.2">
      <c r="A216" s="684"/>
      <c r="B216" s="815" t="s">
        <v>288</v>
      </c>
      <c r="C216" s="816" t="s">
        <v>1199</v>
      </c>
      <c r="D216" s="813" t="s">
        <v>1203</v>
      </c>
      <c r="E216" s="682" t="s">
        <v>1178</v>
      </c>
      <c r="F216" s="701">
        <v>1250</v>
      </c>
      <c r="G216" s="690" t="s">
        <v>885</v>
      </c>
      <c r="H216" s="702" t="s">
        <v>0</v>
      </c>
      <c r="I216" s="703">
        <v>39289</v>
      </c>
      <c r="J216" s="704">
        <v>0</v>
      </c>
      <c r="K216" s="690" t="s">
        <v>885</v>
      </c>
      <c r="L216" s="705"/>
      <c r="M216" s="698">
        <v>0</v>
      </c>
      <c r="N216" s="690" t="s">
        <v>885</v>
      </c>
      <c r="O216" s="704">
        <f t="shared" si="63"/>
        <v>1192.5</v>
      </c>
      <c r="P216" s="690" t="s">
        <v>885</v>
      </c>
      <c r="Q216" s="704">
        <f t="shared" si="64"/>
        <v>1250</v>
      </c>
      <c r="R216" s="690" t="s">
        <v>885</v>
      </c>
      <c r="S216" s="704">
        <f t="shared" si="65"/>
        <v>57.5</v>
      </c>
      <c r="T216" s="690" t="s">
        <v>885</v>
      </c>
      <c r="U216" s="309" t="str">
        <f t="shared" si="66"/>
        <v/>
      </c>
    </row>
    <row r="217" spans="1:22" ht="30.2" customHeight="1" x14ac:dyDescent="0.2">
      <c r="A217" s="684"/>
      <c r="B217" s="815" t="s">
        <v>288</v>
      </c>
      <c r="C217" s="816" t="s">
        <v>1199</v>
      </c>
      <c r="D217" s="813" t="s">
        <v>1204</v>
      </c>
      <c r="E217" s="682" t="s">
        <v>1178</v>
      </c>
      <c r="F217" s="701">
        <v>1250</v>
      </c>
      <c r="G217" s="690" t="s">
        <v>885</v>
      </c>
      <c r="H217" s="702" t="s">
        <v>0</v>
      </c>
      <c r="I217" s="703">
        <v>39289</v>
      </c>
      <c r="J217" s="704">
        <v>0</v>
      </c>
      <c r="K217" s="690" t="s">
        <v>885</v>
      </c>
      <c r="L217" s="705"/>
      <c r="M217" s="698">
        <v>0</v>
      </c>
      <c r="N217" s="690" t="s">
        <v>885</v>
      </c>
      <c r="O217" s="704">
        <f t="shared" si="63"/>
        <v>1192.5</v>
      </c>
      <c r="P217" s="690" t="s">
        <v>885</v>
      </c>
      <c r="Q217" s="704">
        <f t="shared" si="64"/>
        <v>1250</v>
      </c>
      <c r="R217" s="690" t="s">
        <v>885</v>
      </c>
      <c r="S217" s="704">
        <f t="shared" si="65"/>
        <v>57.5</v>
      </c>
      <c r="T217" s="690" t="s">
        <v>885</v>
      </c>
      <c r="U217" s="309" t="str">
        <f t="shared" si="66"/>
        <v/>
      </c>
    </row>
    <row r="218" spans="1:22" ht="30.2" customHeight="1" x14ac:dyDescent="0.2">
      <c r="A218" s="684"/>
      <c r="B218" s="815" t="s">
        <v>288</v>
      </c>
      <c r="C218" s="816" t="s">
        <v>1199</v>
      </c>
      <c r="D218" s="813" t="s">
        <v>1205</v>
      </c>
      <c r="E218" s="682" t="s">
        <v>1178</v>
      </c>
      <c r="F218" s="701">
        <v>1250</v>
      </c>
      <c r="G218" s="690" t="s">
        <v>885</v>
      </c>
      <c r="H218" s="702" t="s">
        <v>0</v>
      </c>
      <c r="I218" s="703">
        <v>39289</v>
      </c>
      <c r="J218" s="704">
        <v>0</v>
      </c>
      <c r="K218" s="690" t="s">
        <v>885</v>
      </c>
      <c r="L218" s="705"/>
      <c r="M218" s="698">
        <v>0</v>
      </c>
      <c r="N218" s="690" t="s">
        <v>885</v>
      </c>
      <c r="O218" s="704">
        <f t="shared" si="63"/>
        <v>1192.5</v>
      </c>
      <c r="P218" s="690" t="s">
        <v>885</v>
      </c>
      <c r="Q218" s="704">
        <f t="shared" si="64"/>
        <v>1250</v>
      </c>
      <c r="R218" s="690" t="s">
        <v>885</v>
      </c>
      <c r="S218" s="704">
        <f t="shared" si="65"/>
        <v>57.5</v>
      </c>
      <c r="T218" s="690" t="s">
        <v>885</v>
      </c>
      <c r="U218" s="309" t="str">
        <f t="shared" si="66"/>
        <v/>
      </c>
    </row>
    <row r="219" spans="1:22" ht="30.2" customHeight="1" x14ac:dyDescent="0.2">
      <c r="A219" s="684"/>
      <c r="B219" s="815" t="s">
        <v>288</v>
      </c>
      <c r="C219" s="816" t="s">
        <v>1199</v>
      </c>
      <c r="D219" s="813" t="s">
        <v>1206</v>
      </c>
      <c r="E219" s="682" t="s">
        <v>1178</v>
      </c>
      <c r="F219" s="701">
        <v>1250</v>
      </c>
      <c r="G219" s="690" t="s">
        <v>885</v>
      </c>
      <c r="H219" s="702" t="s">
        <v>0</v>
      </c>
      <c r="I219" s="703">
        <v>39289</v>
      </c>
      <c r="J219" s="704">
        <v>0</v>
      </c>
      <c r="K219" s="690" t="s">
        <v>885</v>
      </c>
      <c r="L219" s="705"/>
      <c r="M219" s="698">
        <v>0</v>
      </c>
      <c r="N219" s="690" t="s">
        <v>885</v>
      </c>
      <c r="O219" s="704">
        <f t="shared" si="63"/>
        <v>1192.5</v>
      </c>
      <c r="P219" s="690" t="s">
        <v>885</v>
      </c>
      <c r="Q219" s="704">
        <f t="shared" si="64"/>
        <v>1250</v>
      </c>
      <c r="R219" s="690" t="s">
        <v>885</v>
      </c>
      <c r="S219" s="704">
        <f t="shared" si="65"/>
        <v>57.5</v>
      </c>
      <c r="T219" s="690" t="s">
        <v>885</v>
      </c>
      <c r="U219" s="309" t="str">
        <f t="shared" si="66"/>
        <v/>
      </c>
    </row>
    <row r="220" spans="1:22" ht="30.2" customHeight="1" x14ac:dyDescent="0.2">
      <c r="A220" s="684"/>
      <c r="B220" s="815" t="s">
        <v>288</v>
      </c>
      <c r="C220" s="816" t="s">
        <v>1199</v>
      </c>
      <c r="D220" s="813" t="s">
        <v>1207</v>
      </c>
      <c r="E220" s="682" t="s">
        <v>1178</v>
      </c>
      <c r="F220" s="701">
        <v>1250</v>
      </c>
      <c r="G220" s="690" t="s">
        <v>885</v>
      </c>
      <c r="H220" s="702" t="s">
        <v>0</v>
      </c>
      <c r="I220" s="703">
        <v>39289</v>
      </c>
      <c r="J220" s="704">
        <v>0</v>
      </c>
      <c r="K220" s="690" t="s">
        <v>885</v>
      </c>
      <c r="L220" s="705"/>
      <c r="M220" s="698">
        <v>0</v>
      </c>
      <c r="N220" s="690" t="s">
        <v>885</v>
      </c>
      <c r="O220" s="704">
        <f t="shared" si="63"/>
        <v>1192.5</v>
      </c>
      <c r="P220" s="690" t="s">
        <v>885</v>
      </c>
      <c r="Q220" s="704">
        <f t="shared" si="64"/>
        <v>1250</v>
      </c>
      <c r="R220" s="690" t="s">
        <v>885</v>
      </c>
      <c r="S220" s="704">
        <f t="shared" si="65"/>
        <v>57.5</v>
      </c>
      <c r="T220" s="690" t="s">
        <v>885</v>
      </c>
      <c r="U220" s="309" t="str">
        <f t="shared" si="66"/>
        <v/>
      </c>
    </row>
    <row r="221" spans="1:22" ht="30.2" customHeight="1" x14ac:dyDescent="0.2">
      <c r="A221" s="684"/>
      <c r="B221" s="815" t="s">
        <v>288</v>
      </c>
      <c r="C221" s="816" t="s">
        <v>1199</v>
      </c>
      <c r="D221" s="813" t="s">
        <v>1208</v>
      </c>
      <c r="E221" s="682" t="s">
        <v>1178</v>
      </c>
      <c r="F221" s="701">
        <v>1250</v>
      </c>
      <c r="G221" s="690" t="s">
        <v>885</v>
      </c>
      <c r="H221" s="702" t="s">
        <v>0</v>
      </c>
      <c r="I221" s="703">
        <v>39289</v>
      </c>
      <c r="J221" s="704">
        <v>0</v>
      </c>
      <c r="K221" s="690" t="s">
        <v>885</v>
      </c>
      <c r="L221" s="705"/>
      <c r="M221" s="698">
        <v>0</v>
      </c>
      <c r="N221" s="690" t="s">
        <v>885</v>
      </c>
      <c r="O221" s="704">
        <f t="shared" si="63"/>
        <v>1192.5</v>
      </c>
      <c r="P221" s="690" t="s">
        <v>885</v>
      </c>
      <c r="Q221" s="704">
        <f t="shared" si="64"/>
        <v>1250</v>
      </c>
      <c r="R221" s="690" t="s">
        <v>885</v>
      </c>
      <c r="S221" s="704">
        <f t="shared" si="65"/>
        <v>57.5</v>
      </c>
      <c r="T221" s="690" t="s">
        <v>885</v>
      </c>
      <c r="U221" s="309" t="str">
        <f t="shared" si="66"/>
        <v/>
      </c>
    </row>
    <row r="222" spans="1:22" ht="30.2" customHeight="1" x14ac:dyDescent="0.2">
      <c r="A222" s="684"/>
      <c r="B222" s="830" t="s">
        <v>288</v>
      </c>
      <c r="C222" s="782" t="s">
        <v>1199</v>
      </c>
      <c r="D222" s="739" t="s">
        <v>1209</v>
      </c>
      <c r="E222" s="682" t="s">
        <v>1178</v>
      </c>
      <c r="F222" s="701">
        <v>1250</v>
      </c>
      <c r="G222" s="690" t="s">
        <v>885</v>
      </c>
      <c r="H222" s="702" t="s">
        <v>0</v>
      </c>
      <c r="I222" s="703">
        <v>39289</v>
      </c>
      <c r="J222" s="704">
        <v>0</v>
      </c>
      <c r="K222" s="690" t="s">
        <v>885</v>
      </c>
      <c r="L222" s="705"/>
      <c r="M222" s="698">
        <v>0</v>
      </c>
      <c r="N222" s="690" t="s">
        <v>885</v>
      </c>
      <c r="O222" s="704">
        <f t="shared" si="63"/>
        <v>1192.5</v>
      </c>
      <c r="P222" s="690" t="s">
        <v>885</v>
      </c>
      <c r="Q222" s="704">
        <f t="shared" si="64"/>
        <v>1250</v>
      </c>
      <c r="R222" s="690" t="s">
        <v>885</v>
      </c>
      <c r="S222" s="704">
        <f t="shared" si="65"/>
        <v>57.5</v>
      </c>
      <c r="T222" s="690" t="s">
        <v>885</v>
      </c>
      <c r="U222" s="309" t="str">
        <f t="shared" si="66"/>
        <v/>
      </c>
    </row>
    <row r="223" spans="1:22" ht="30.2" customHeight="1" x14ac:dyDescent="0.2">
      <c r="A223" s="1067"/>
      <c r="B223" s="830" t="s">
        <v>1391</v>
      </c>
      <c r="C223" s="782" t="s">
        <v>1392</v>
      </c>
      <c r="D223" s="739" t="s">
        <v>1084</v>
      </c>
      <c r="E223" s="682" t="s">
        <v>1393</v>
      </c>
      <c r="F223" s="701">
        <v>500</v>
      </c>
      <c r="G223" s="690" t="s">
        <v>885</v>
      </c>
      <c r="H223" s="702" t="s">
        <v>0</v>
      </c>
      <c r="I223" s="703">
        <v>41418</v>
      </c>
      <c r="J223" s="704">
        <v>1171.2</v>
      </c>
      <c r="K223" s="690" t="s">
        <v>120</v>
      </c>
      <c r="L223" s="1024"/>
      <c r="M223" s="698">
        <v>0</v>
      </c>
      <c r="N223" s="690" t="s">
        <v>885</v>
      </c>
      <c r="O223" s="704">
        <f t="shared" si="63"/>
        <v>21.299999999999955</v>
      </c>
      <c r="P223" s="690" t="s">
        <v>885</v>
      </c>
      <c r="Q223" s="704">
        <f t="shared" si="64"/>
        <v>1671.2</v>
      </c>
      <c r="R223" s="690" t="s">
        <v>885</v>
      </c>
      <c r="S223" s="704">
        <f t="shared" si="65"/>
        <v>478.70000000000005</v>
      </c>
      <c r="T223" s="690" t="s">
        <v>885</v>
      </c>
    </row>
    <row r="224" spans="1:22" ht="17.100000000000001" customHeight="1" x14ac:dyDescent="0.2">
      <c r="A224" s="1683"/>
      <c r="B224" s="1644" t="s">
        <v>865</v>
      </c>
      <c r="C224" s="1626" t="s">
        <v>264</v>
      </c>
      <c r="D224" s="1626">
        <v>3008</v>
      </c>
      <c r="E224" s="1650">
        <v>72</v>
      </c>
      <c r="F224" s="793">
        <v>2500</v>
      </c>
      <c r="G224" s="789" t="s">
        <v>885</v>
      </c>
      <c r="H224" s="1646" t="s">
        <v>0</v>
      </c>
      <c r="I224" s="1652">
        <v>39289</v>
      </c>
      <c r="J224" s="1653">
        <v>0</v>
      </c>
      <c r="K224" s="1654" t="s">
        <v>885</v>
      </c>
      <c r="L224" s="787"/>
      <c r="M224" s="1296">
        <v>0</v>
      </c>
      <c r="N224" s="1295" t="s">
        <v>885</v>
      </c>
      <c r="O224" s="1294">
        <f>M224+(C4-J224)</f>
        <v>1192.5</v>
      </c>
      <c r="P224" s="1295" t="s">
        <v>885</v>
      </c>
      <c r="Q224" s="788">
        <v>2500</v>
      </c>
      <c r="R224" s="789" t="s">
        <v>885</v>
      </c>
      <c r="S224" s="788">
        <f>Q224-$O$3</f>
        <v>1307.5</v>
      </c>
      <c r="T224" s="789" t="s">
        <v>885</v>
      </c>
      <c r="U224" s="1272"/>
    </row>
    <row r="225" spans="1:22" ht="17.100000000000001" customHeight="1" thickBot="1" x14ac:dyDescent="0.25">
      <c r="A225" s="1683"/>
      <c r="B225" s="1645"/>
      <c r="C225" s="1627"/>
      <c r="D225" s="1627"/>
      <c r="E225" s="1651"/>
      <c r="F225" s="784">
        <v>15</v>
      </c>
      <c r="G225" s="765" t="s">
        <v>200</v>
      </c>
      <c r="H225" s="1647"/>
      <c r="I225" s="1629"/>
      <c r="J225" s="1631"/>
      <c r="K225" s="1655"/>
      <c r="L225" s="779"/>
      <c r="M225" s="1299">
        <f>I224-V225</f>
        <v>57</v>
      </c>
      <c r="N225" s="1298" t="s">
        <v>906</v>
      </c>
      <c r="O225" s="1297">
        <f>S1-V225</f>
        <v>2217</v>
      </c>
      <c r="P225" s="1298" t="s">
        <v>906</v>
      </c>
      <c r="Q225" s="1303">
        <v>44712</v>
      </c>
      <c r="R225" s="765"/>
      <c r="S225" s="784">
        <f>Q225-$S$1</f>
        <v>3263</v>
      </c>
      <c r="T225" s="765" t="s">
        <v>906</v>
      </c>
      <c r="U225" s="309" t="str">
        <f>IF(S:S&lt;=50,"ALERTA","")</f>
        <v/>
      </c>
      <c r="V225" s="1291">
        <v>39232</v>
      </c>
    </row>
    <row r="226" spans="1:22" ht="18" customHeight="1" x14ac:dyDescent="0.2">
      <c r="A226" s="1683"/>
      <c r="B226" s="1619" t="s">
        <v>281</v>
      </c>
      <c r="C226" s="1621" t="s">
        <v>1189</v>
      </c>
      <c r="D226" s="1621">
        <v>15007</v>
      </c>
      <c r="E226" s="1636" t="s">
        <v>1178</v>
      </c>
      <c r="F226" s="734">
        <v>2500</v>
      </c>
      <c r="G226" s="697" t="s">
        <v>885</v>
      </c>
      <c r="H226" s="1643" t="s">
        <v>0</v>
      </c>
      <c r="I226" s="1624">
        <v>39289</v>
      </c>
      <c r="J226" s="1625">
        <v>0</v>
      </c>
      <c r="K226" s="1623" t="s">
        <v>885</v>
      </c>
      <c r="L226" s="838"/>
      <c r="M226" s="1300">
        <v>0</v>
      </c>
      <c r="N226" s="1301" t="s">
        <v>885</v>
      </c>
      <c r="O226" s="1302">
        <f>M226+($O$3-J226)</f>
        <v>1192.5</v>
      </c>
      <c r="P226" s="1301" t="s">
        <v>885</v>
      </c>
      <c r="Q226" s="735">
        <f>F226+J226-M226</f>
        <v>2500</v>
      </c>
      <c r="R226" s="695" t="s">
        <v>885</v>
      </c>
      <c r="S226" s="735">
        <f>Q226-$O$3</f>
        <v>1307.5</v>
      </c>
      <c r="T226" s="695" t="s">
        <v>885</v>
      </c>
      <c r="U226" s="309" t="str">
        <f>IF(S:S&lt;=50,"ALERTA","")</f>
        <v/>
      </c>
    </row>
    <row r="227" spans="1:22" ht="18" customHeight="1" x14ac:dyDescent="0.2">
      <c r="A227" s="1683"/>
      <c r="B227" s="1620"/>
      <c r="C227" s="1622"/>
      <c r="D227" s="1622"/>
      <c r="E227" s="1639"/>
      <c r="F227" s="710">
        <v>15</v>
      </c>
      <c r="G227" s="711" t="s">
        <v>200</v>
      </c>
      <c r="H227" s="1638"/>
      <c r="I227" s="1612"/>
      <c r="J227" s="1614"/>
      <c r="K227" s="1616"/>
      <c r="L227" s="705"/>
      <c r="M227" s="1286">
        <v>57</v>
      </c>
      <c r="N227" s="1262" t="s">
        <v>906</v>
      </c>
      <c r="O227" s="783">
        <f>S1-V225</f>
        <v>2217</v>
      </c>
      <c r="P227" s="1262" t="s">
        <v>906</v>
      </c>
      <c r="Q227" s="720">
        <v>44712</v>
      </c>
      <c r="R227" s="692"/>
      <c r="S227" s="710">
        <f>Q227-$S$1</f>
        <v>3263</v>
      </c>
      <c r="T227" s="692" t="s">
        <v>906</v>
      </c>
      <c r="U227" s="309" t="str">
        <f>IF(S:S&lt;=50,"ALERTA","")</f>
        <v/>
      </c>
    </row>
    <row r="228" spans="1:22" ht="30.2" customHeight="1" x14ac:dyDescent="0.2">
      <c r="A228" s="684"/>
      <c r="B228" s="830" t="s">
        <v>320</v>
      </c>
      <c r="C228" s="739">
        <v>9609000411</v>
      </c>
      <c r="D228" s="782" t="s">
        <v>1298</v>
      </c>
      <c r="E228" s="682" t="s">
        <v>1178</v>
      </c>
      <c r="F228" s="701">
        <v>3000</v>
      </c>
      <c r="G228" s="690" t="s">
        <v>885</v>
      </c>
      <c r="H228" s="747" t="s">
        <v>1179</v>
      </c>
      <c r="I228" s="703">
        <v>39289</v>
      </c>
      <c r="J228" s="704">
        <v>0</v>
      </c>
      <c r="K228" s="690" t="s">
        <v>885</v>
      </c>
      <c r="L228" s="705"/>
      <c r="M228" s="698">
        <v>0</v>
      </c>
      <c r="N228" s="690" t="s">
        <v>885</v>
      </c>
      <c r="O228" s="704">
        <f>M228+($O$3-J228)</f>
        <v>1192.5</v>
      </c>
      <c r="P228" s="690" t="s">
        <v>885</v>
      </c>
      <c r="Q228" s="698">
        <f>F228+J228-M228</f>
        <v>3000</v>
      </c>
      <c r="R228" s="690" t="s">
        <v>885</v>
      </c>
      <c r="S228" s="704">
        <f>Q228-$O$3</f>
        <v>1807.5</v>
      </c>
      <c r="T228" s="690" t="s">
        <v>885</v>
      </c>
      <c r="U228" s="309" t="str">
        <f>IF(S:S&lt;=50,"ALERTA","")</f>
        <v/>
      </c>
    </row>
    <row r="229" spans="1:22" ht="30.2" customHeight="1" x14ac:dyDescent="0.2">
      <c r="A229" s="684"/>
      <c r="B229" s="830" t="s">
        <v>321</v>
      </c>
      <c r="C229" s="739">
        <v>9609000411</v>
      </c>
      <c r="D229" s="782" t="s">
        <v>1299</v>
      </c>
      <c r="E229" s="682" t="s">
        <v>1178</v>
      </c>
      <c r="F229" s="701">
        <v>3000</v>
      </c>
      <c r="G229" s="690" t="s">
        <v>885</v>
      </c>
      <c r="H229" s="747" t="s">
        <v>1179</v>
      </c>
      <c r="I229" s="703">
        <v>39289</v>
      </c>
      <c r="J229" s="704">
        <v>0</v>
      </c>
      <c r="K229" s="690" t="s">
        <v>885</v>
      </c>
      <c r="L229" s="705"/>
      <c r="M229" s="698">
        <v>0</v>
      </c>
      <c r="N229" s="690" t="s">
        <v>885</v>
      </c>
      <c r="O229" s="704">
        <f t="shared" ref="O229:O235" si="67">M229+($O$3-J229)</f>
        <v>1192.5</v>
      </c>
      <c r="P229" s="690" t="s">
        <v>885</v>
      </c>
      <c r="Q229" s="698">
        <f t="shared" ref="Q229:Q235" si="68">F229+J229-M229</f>
        <v>3000</v>
      </c>
      <c r="R229" s="690" t="s">
        <v>885</v>
      </c>
      <c r="S229" s="704">
        <f t="shared" ref="S229:S235" si="69">Q229-$O$3</f>
        <v>1807.5</v>
      </c>
      <c r="T229" s="690" t="s">
        <v>885</v>
      </c>
      <c r="U229" s="309" t="str">
        <f>IF(S:S&lt;=50,"ALERTA","")</f>
        <v/>
      </c>
    </row>
    <row r="230" spans="1:22" ht="30.2" customHeight="1" x14ac:dyDescent="0.2">
      <c r="A230" s="684"/>
      <c r="B230" s="830" t="s">
        <v>322</v>
      </c>
      <c r="C230" s="739">
        <v>9609000341</v>
      </c>
      <c r="D230" s="782" t="s">
        <v>1302</v>
      </c>
      <c r="E230" s="682" t="s">
        <v>1178</v>
      </c>
      <c r="F230" s="701">
        <v>5000</v>
      </c>
      <c r="G230" s="690" t="s">
        <v>885</v>
      </c>
      <c r="H230" s="747" t="s">
        <v>1179</v>
      </c>
      <c r="I230" s="703">
        <v>39289</v>
      </c>
      <c r="J230" s="704">
        <v>0</v>
      </c>
      <c r="K230" s="690" t="s">
        <v>885</v>
      </c>
      <c r="L230" s="705"/>
      <c r="M230" s="698">
        <v>0</v>
      </c>
      <c r="N230" s="690" t="s">
        <v>885</v>
      </c>
      <c r="O230" s="704">
        <f t="shared" si="67"/>
        <v>1192.5</v>
      </c>
      <c r="P230" s="690" t="s">
        <v>885</v>
      </c>
      <c r="Q230" s="698">
        <f t="shared" si="68"/>
        <v>5000</v>
      </c>
      <c r="R230" s="690" t="s">
        <v>885</v>
      </c>
      <c r="S230" s="704">
        <f t="shared" si="69"/>
        <v>3807.5</v>
      </c>
      <c r="T230" s="690" t="s">
        <v>885</v>
      </c>
      <c r="U230" s="309" t="str">
        <f>IF(S:S&lt;=200,"ALERTA","")</f>
        <v/>
      </c>
    </row>
    <row r="231" spans="1:22" ht="30.2" customHeight="1" x14ac:dyDescent="0.2">
      <c r="A231" s="684"/>
      <c r="B231" s="830" t="s">
        <v>323</v>
      </c>
      <c r="C231" s="739">
        <v>9609000342</v>
      </c>
      <c r="D231" s="782" t="s">
        <v>1303</v>
      </c>
      <c r="E231" s="682" t="s">
        <v>1178</v>
      </c>
      <c r="F231" s="701">
        <v>5000</v>
      </c>
      <c r="G231" s="690" t="s">
        <v>885</v>
      </c>
      <c r="H231" s="747" t="s">
        <v>1179</v>
      </c>
      <c r="I231" s="703">
        <v>39289</v>
      </c>
      <c r="J231" s="704">
        <v>0</v>
      </c>
      <c r="K231" s="690" t="s">
        <v>885</v>
      </c>
      <c r="L231" s="705"/>
      <c r="M231" s="698">
        <v>0</v>
      </c>
      <c r="N231" s="690" t="s">
        <v>885</v>
      </c>
      <c r="O231" s="704">
        <f t="shared" si="67"/>
        <v>1192.5</v>
      </c>
      <c r="P231" s="690" t="s">
        <v>885</v>
      </c>
      <c r="Q231" s="698">
        <f t="shared" si="68"/>
        <v>5000</v>
      </c>
      <c r="R231" s="690" t="s">
        <v>885</v>
      </c>
      <c r="S231" s="704">
        <f t="shared" si="69"/>
        <v>3807.5</v>
      </c>
      <c r="T231" s="690" t="s">
        <v>885</v>
      </c>
      <c r="U231" s="309" t="str">
        <f t="shared" ref="U231:U240" si="70">IF(S:S&lt;=50,"ALERTA","")</f>
        <v/>
      </c>
    </row>
    <row r="232" spans="1:22" ht="30.2" customHeight="1" x14ac:dyDescent="0.2">
      <c r="A232" s="684"/>
      <c r="B232" s="830" t="s">
        <v>324</v>
      </c>
      <c r="C232" s="739">
        <v>9609000311</v>
      </c>
      <c r="D232" s="782" t="s">
        <v>1300</v>
      </c>
      <c r="E232" s="682" t="s">
        <v>1178</v>
      </c>
      <c r="F232" s="701">
        <v>5000</v>
      </c>
      <c r="G232" s="690" t="s">
        <v>885</v>
      </c>
      <c r="H232" s="747" t="s">
        <v>1179</v>
      </c>
      <c r="I232" s="703">
        <v>39289</v>
      </c>
      <c r="J232" s="704">
        <v>0</v>
      </c>
      <c r="K232" s="690" t="s">
        <v>885</v>
      </c>
      <c r="L232" s="705"/>
      <c r="M232" s="698">
        <v>0</v>
      </c>
      <c r="N232" s="690" t="s">
        <v>885</v>
      </c>
      <c r="O232" s="704">
        <f t="shared" si="67"/>
        <v>1192.5</v>
      </c>
      <c r="P232" s="690" t="s">
        <v>885</v>
      </c>
      <c r="Q232" s="698">
        <f t="shared" si="68"/>
        <v>5000</v>
      </c>
      <c r="R232" s="690" t="s">
        <v>885</v>
      </c>
      <c r="S232" s="704">
        <f t="shared" si="69"/>
        <v>3807.5</v>
      </c>
      <c r="T232" s="690" t="s">
        <v>885</v>
      </c>
      <c r="U232" s="309" t="str">
        <f t="shared" si="70"/>
        <v/>
      </c>
    </row>
    <row r="233" spans="1:22" ht="30" customHeight="1" x14ac:dyDescent="0.2">
      <c r="A233" s="684"/>
      <c r="B233" s="830" t="s">
        <v>325</v>
      </c>
      <c r="C233" s="739">
        <v>9609000697</v>
      </c>
      <c r="D233" s="782" t="s">
        <v>1301</v>
      </c>
      <c r="E233" s="682" t="s">
        <v>1178</v>
      </c>
      <c r="F233" s="701">
        <v>2500</v>
      </c>
      <c r="G233" s="690" t="s">
        <v>885</v>
      </c>
      <c r="H233" s="747" t="s">
        <v>1179</v>
      </c>
      <c r="I233" s="703">
        <v>39289</v>
      </c>
      <c r="J233" s="704">
        <v>0</v>
      </c>
      <c r="K233" s="690" t="s">
        <v>885</v>
      </c>
      <c r="L233" s="705"/>
      <c r="M233" s="698">
        <v>0</v>
      </c>
      <c r="N233" s="690" t="s">
        <v>885</v>
      </c>
      <c r="O233" s="704">
        <f t="shared" si="67"/>
        <v>1192.5</v>
      </c>
      <c r="P233" s="690" t="s">
        <v>885</v>
      </c>
      <c r="Q233" s="698">
        <f t="shared" si="68"/>
        <v>2500</v>
      </c>
      <c r="R233" s="690" t="s">
        <v>885</v>
      </c>
      <c r="S233" s="704">
        <f t="shared" si="69"/>
        <v>1307.5</v>
      </c>
      <c r="T233" s="690" t="s">
        <v>885</v>
      </c>
      <c r="U233" s="309" t="str">
        <f t="shared" si="70"/>
        <v/>
      </c>
    </row>
    <row r="234" spans="1:22" ht="30" customHeight="1" x14ac:dyDescent="0.2">
      <c r="A234" s="684"/>
      <c r="B234" s="830" t="s">
        <v>326</v>
      </c>
      <c r="C234" s="739">
        <v>9609000310</v>
      </c>
      <c r="D234" s="782" t="s">
        <v>1304</v>
      </c>
      <c r="E234" s="682" t="s">
        <v>1178</v>
      </c>
      <c r="F234" s="701">
        <v>5000</v>
      </c>
      <c r="G234" s="690" t="s">
        <v>885</v>
      </c>
      <c r="H234" s="747" t="s">
        <v>1179</v>
      </c>
      <c r="I234" s="703">
        <v>39289</v>
      </c>
      <c r="J234" s="704">
        <v>0</v>
      </c>
      <c r="K234" s="690" t="s">
        <v>885</v>
      </c>
      <c r="L234" s="705"/>
      <c r="M234" s="698">
        <v>0</v>
      </c>
      <c r="N234" s="690" t="s">
        <v>885</v>
      </c>
      <c r="O234" s="704">
        <f t="shared" si="67"/>
        <v>1192.5</v>
      </c>
      <c r="P234" s="690" t="s">
        <v>885</v>
      </c>
      <c r="Q234" s="698">
        <f t="shared" si="68"/>
        <v>5000</v>
      </c>
      <c r="R234" s="690" t="s">
        <v>885</v>
      </c>
      <c r="S234" s="704">
        <f t="shared" si="69"/>
        <v>3807.5</v>
      </c>
      <c r="T234" s="690" t="s">
        <v>885</v>
      </c>
      <c r="U234" s="309" t="str">
        <f t="shared" si="70"/>
        <v/>
      </c>
    </row>
    <row r="235" spans="1:22" ht="30.2" customHeight="1" x14ac:dyDescent="0.2">
      <c r="A235" s="684"/>
      <c r="B235" s="830" t="s">
        <v>327</v>
      </c>
      <c r="C235" s="739">
        <v>9609490501</v>
      </c>
      <c r="D235" s="782" t="s">
        <v>1305</v>
      </c>
      <c r="E235" s="682" t="s">
        <v>1178</v>
      </c>
      <c r="F235" s="701">
        <v>5000</v>
      </c>
      <c r="G235" s="690" t="s">
        <v>885</v>
      </c>
      <c r="H235" s="747" t="s">
        <v>1179</v>
      </c>
      <c r="I235" s="703">
        <v>39289</v>
      </c>
      <c r="J235" s="704">
        <v>0</v>
      </c>
      <c r="K235" s="690" t="s">
        <v>885</v>
      </c>
      <c r="L235" s="705"/>
      <c r="M235" s="698">
        <v>0</v>
      </c>
      <c r="N235" s="690" t="s">
        <v>885</v>
      </c>
      <c r="O235" s="704">
        <f t="shared" si="67"/>
        <v>1192.5</v>
      </c>
      <c r="P235" s="690" t="s">
        <v>885</v>
      </c>
      <c r="Q235" s="698">
        <f t="shared" si="68"/>
        <v>5000</v>
      </c>
      <c r="R235" s="690" t="s">
        <v>885</v>
      </c>
      <c r="S235" s="704">
        <f t="shared" si="69"/>
        <v>3807.5</v>
      </c>
      <c r="T235" s="690" t="s">
        <v>885</v>
      </c>
      <c r="U235" s="309" t="str">
        <f t="shared" si="70"/>
        <v/>
      </c>
    </row>
    <row r="236" spans="1:22" ht="18" customHeight="1" x14ac:dyDescent="0.2">
      <c r="A236" s="1683"/>
      <c r="B236" s="1642" t="s">
        <v>280</v>
      </c>
      <c r="C236" s="1634" t="s">
        <v>1190</v>
      </c>
      <c r="D236" s="1634">
        <v>26508</v>
      </c>
      <c r="E236" s="1635" t="s">
        <v>1178</v>
      </c>
      <c r="F236" s="707">
        <v>2500</v>
      </c>
      <c r="G236" s="696" t="s">
        <v>885</v>
      </c>
      <c r="H236" s="1637" t="s">
        <v>0</v>
      </c>
      <c r="I236" s="1611">
        <v>39289</v>
      </c>
      <c r="J236" s="1613">
        <v>0</v>
      </c>
      <c r="K236" s="1615" t="s">
        <v>885</v>
      </c>
      <c r="L236" s="705"/>
      <c r="M236" s="772">
        <v>0</v>
      </c>
      <c r="N236" s="1261" t="s">
        <v>885</v>
      </c>
      <c r="O236" s="771">
        <f>M236+($O$3-J236)</f>
        <v>1192.5</v>
      </c>
      <c r="P236" s="1261" t="s">
        <v>885</v>
      </c>
      <c r="Q236" s="730">
        <f>F236+J236-M236</f>
        <v>2500</v>
      </c>
      <c r="R236" s="691" t="s">
        <v>885</v>
      </c>
      <c r="S236" s="730">
        <f>Q236-$O$3</f>
        <v>1307.5</v>
      </c>
      <c r="T236" s="691" t="s">
        <v>885</v>
      </c>
      <c r="U236" s="309" t="str">
        <f t="shared" si="70"/>
        <v/>
      </c>
    </row>
    <row r="237" spans="1:22" ht="18" customHeight="1" x14ac:dyDescent="0.2">
      <c r="A237" s="1683"/>
      <c r="B237" s="1620"/>
      <c r="C237" s="1622"/>
      <c r="D237" s="1622"/>
      <c r="E237" s="1639"/>
      <c r="F237" s="710">
        <v>15</v>
      </c>
      <c r="G237" s="711" t="s">
        <v>200</v>
      </c>
      <c r="H237" s="1638"/>
      <c r="I237" s="1612"/>
      <c r="J237" s="1614"/>
      <c r="K237" s="1616"/>
      <c r="L237" s="705"/>
      <c r="M237" s="1286">
        <v>57</v>
      </c>
      <c r="N237" s="1262" t="s">
        <v>906</v>
      </c>
      <c r="O237" s="783">
        <f>S1-V225</f>
        <v>2217</v>
      </c>
      <c r="P237" s="1262" t="s">
        <v>906</v>
      </c>
      <c r="Q237" s="720">
        <v>44712</v>
      </c>
      <c r="R237" s="692"/>
      <c r="S237" s="710">
        <f>Q237-$S$1</f>
        <v>3263</v>
      </c>
      <c r="T237" s="692" t="s">
        <v>906</v>
      </c>
      <c r="U237" s="309" t="str">
        <f t="shared" si="70"/>
        <v/>
      </c>
    </row>
    <row r="238" spans="1:22" ht="30.2" customHeight="1" x14ac:dyDescent="0.2">
      <c r="A238" s="684"/>
      <c r="B238" s="847" t="s">
        <v>328</v>
      </c>
      <c r="C238" s="781" t="s">
        <v>1169</v>
      </c>
      <c r="D238" s="846" t="s">
        <v>1281</v>
      </c>
      <c r="E238" s="738" t="s">
        <v>1171</v>
      </c>
      <c r="F238" s="710">
        <v>8000</v>
      </c>
      <c r="G238" s="711" t="s">
        <v>963</v>
      </c>
      <c r="H238" s="780" t="s">
        <v>1021</v>
      </c>
      <c r="I238" s="703">
        <v>39289</v>
      </c>
      <c r="J238" s="704">
        <v>0</v>
      </c>
      <c r="K238" s="834" t="s">
        <v>963</v>
      </c>
      <c r="L238" s="705"/>
      <c r="M238" s="698">
        <v>0</v>
      </c>
      <c r="N238" s="834" t="s">
        <v>963</v>
      </c>
      <c r="O238" s="704">
        <f>M238+($O$4-J238)</f>
        <v>955.25</v>
      </c>
      <c r="P238" s="692" t="s">
        <v>963</v>
      </c>
      <c r="Q238" s="698">
        <f t="shared" ref="Q238:Q248" si="71">F238+J238-M238</f>
        <v>8000</v>
      </c>
      <c r="R238" s="692" t="s">
        <v>963</v>
      </c>
      <c r="S238" s="704">
        <f>Q238-$O$4</f>
        <v>7044.75</v>
      </c>
      <c r="T238" s="692" t="s">
        <v>963</v>
      </c>
      <c r="U238" s="309" t="str">
        <f t="shared" si="70"/>
        <v/>
      </c>
    </row>
    <row r="239" spans="1:22" ht="30.2" customHeight="1" x14ac:dyDescent="0.2">
      <c r="A239" s="684"/>
      <c r="B239" s="847" t="s">
        <v>209</v>
      </c>
      <c r="C239" s="1063">
        <v>2319200010</v>
      </c>
      <c r="D239" s="846" t="s">
        <v>1282</v>
      </c>
      <c r="E239" s="738" t="s">
        <v>1171</v>
      </c>
      <c r="F239" s="710">
        <v>16000</v>
      </c>
      <c r="G239" s="711" t="s">
        <v>963</v>
      </c>
      <c r="H239" s="780" t="s">
        <v>1021</v>
      </c>
      <c r="I239" s="703">
        <v>39289</v>
      </c>
      <c r="J239" s="704">
        <v>0</v>
      </c>
      <c r="K239" s="834" t="s">
        <v>963</v>
      </c>
      <c r="L239" s="705"/>
      <c r="M239" s="698">
        <v>0</v>
      </c>
      <c r="N239" s="834" t="s">
        <v>963</v>
      </c>
      <c r="O239" s="704">
        <f>M239+($O$4-J239)</f>
        <v>955.25</v>
      </c>
      <c r="P239" s="692" t="s">
        <v>963</v>
      </c>
      <c r="Q239" s="698">
        <f t="shared" si="71"/>
        <v>16000</v>
      </c>
      <c r="R239" s="692" t="s">
        <v>963</v>
      </c>
      <c r="S239" s="704">
        <f>Q239-$O$4</f>
        <v>15044.75</v>
      </c>
      <c r="T239" s="692" t="s">
        <v>963</v>
      </c>
      <c r="U239" s="309" t="str">
        <f t="shared" si="70"/>
        <v/>
      </c>
    </row>
    <row r="240" spans="1:22" ht="30.2" customHeight="1" x14ac:dyDescent="0.2">
      <c r="A240" s="684"/>
      <c r="B240" s="847" t="s">
        <v>1170</v>
      </c>
      <c r="C240" s="713">
        <v>2319402900</v>
      </c>
      <c r="D240" s="846" t="s">
        <v>1285</v>
      </c>
      <c r="E240" s="738" t="s">
        <v>1171</v>
      </c>
      <c r="F240" s="710">
        <v>7000</v>
      </c>
      <c r="G240" s="711" t="s">
        <v>963</v>
      </c>
      <c r="H240" s="780" t="s">
        <v>1021</v>
      </c>
      <c r="I240" s="703">
        <v>39289</v>
      </c>
      <c r="J240" s="704">
        <v>0</v>
      </c>
      <c r="K240" s="834" t="s">
        <v>963</v>
      </c>
      <c r="L240" s="705"/>
      <c r="M240" s="698">
        <v>0</v>
      </c>
      <c r="N240" s="834" t="s">
        <v>963</v>
      </c>
      <c r="O240" s="704">
        <f>M240+($O$4-J240)</f>
        <v>955.25</v>
      </c>
      <c r="P240" s="692" t="s">
        <v>963</v>
      </c>
      <c r="Q240" s="698">
        <f t="shared" si="71"/>
        <v>7000</v>
      </c>
      <c r="R240" s="692" t="s">
        <v>963</v>
      </c>
      <c r="S240" s="704">
        <f>Q240-$O$4</f>
        <v>6044.75</v>
      </c>
      <c r="T240" s="692" t="s">
        <v>963</v>
      </c>
      <c r="U240" s="309" t="str">
        <f t="shared" si="70"/>
        <v/>
      </c>
    </row>
    <row r="241" spans="1:21" ht="30.2" customHeight="1" x14ac:dyDescent="0.2">
      <c r="A241" s="684"/>
      <c r="B241" s="847" t="s">
        <v>329</v>
      </c>
      <c r="C241" s="781" t="s">
        <v>330</v>
      </c>
      <c r="D241" s="846" t="s">
        <v>1284</v>
      </c>
      <c r="E241" s="738" t="s">
        <v>1171</v>
      </c>
      <c r="F241" s="710">
        <v>16000</v>
      </c>
      <c r="G241" s="711" t="s">
        <v>963</v>
      </c>
      <c r="H241" s="780" t="s">
        <v>1021</v>
      </c>
      <c r="I241" s="703">
        <v>39289</v>
      </c>
      <c r="J241" s="704">
        <v>0</v>
      </c>
      <c r="K241" s="834" t="s">
        <v>963</v>
      </c>
      <c r="L241" s="705"/>
      <c r="M241" s="698">
        <v>0</v>
      </c>
      <c r="N241" s="834" t="s">
        <v>963</v>
      </c>
      <c r="O241" s="704">
        <f>M241+($O$4-J241)</f>
        <v>955.25</v>
      </c>
      <c r="P241" s="692" t="s">
        <v>963</v>
      </c>
      <c r="Q241" s="698">
        <f t="shared" si="71"/>
        <v>16000</v>
      </c>
      <c r="R241" s="692" t="s">
        <v>963</v>
      </c>
      <c r="S241" s="704">
        <f>Q241-$O$4</f>
        <v>15044.75</v>
      </c>
      <c r="T241" s="692" t="s">
        <v>963</v>
      </c>
      <c r="U241" s="309" t="str">
        <f>IF(S:S&lt;=200,"ALERTA","")</f>
        <v/>
      </c>
    </row>
    <row r="242" spans="1:21" ht="30" customHeight="1" x14ac:dyDescent="0.2">
      <c r="A242" s="684"/>
      <c r="B242" s="848" t="s">
        <v>331</v>
      </c>
      <c r="C242" s="781" t="s">
        <v>332</v>
      </c>
      <c r="D242" s="713">
        <v>381</v>
      </c>
      <c r="E242" s="682" t="s">
        <v>1178</v>
      </c>
      <c r="F242" s="701">
        <v>5000</v>
      </c>
      <c r="G242" s="690" t="s">
        <v>885</v>
      </c>
      <c r="H242" s="747" t="s">
        <v>1179</v>
      </c>
      <c r="I242" s="703">
        <v>39289</v>
      </c>
      <c r="J242" s="704">
        <v>0</v>
      </c>
      <c r="K242" s="690" t="s">
        <v>885</v>
      </c>
      <c r="L242" s="705"/>
      <c r="M242" s="698">
        <v>0</v>
      </c>
      <c r="N242" s="690" t="s">
        <v>885</v>
      </c>
      <c r="O242" s="704">
        <f>M242+($I$3-J242)</f>
        <v>1192.5</v>
      </c>
      <c r="P242" s="690" t="s">
        <v>885</v>
      </c>
      <c r="Q242" s="698">
        <f t="shared" si="71"/>
        <v>5000</v>
      </c>
      <c r="R242" s="690" t="s">
        <v>885</v>
      </c>
      <c r="S242" s="704">
        <f>Q242-$I$3</f>
        <v>3807.5</v>
      </c>
      <c r="T242" s="690" t="s">
        <v>885</v>
      </c>
      <c r="U242" s="309" t="str">
        <f t="shared" ref="U242:U258" si="72">IF(S:S&lt;=50,"ALERTA","")</f>
        <v/>
      </c>
    </row>
    <row r="243" spans="1:21" ht="30" customHeight="1" x14ac:dyDescent="0.2">
      <c r="A243" s="684"/>
      <c r="B243" s="830" t="s">
        <v>210</v>
      </c>
      <c r="C243" s="782" t="s">
        <v>336</v>
      </c>
      <c r="D243" s="739">
        <v>343</v>
      </c>
      <c r="E243" s="682" t="s">
        <v>1178</v>
      </c>
      <c r="F243" s="701">
        <v>2500</v>
      </c>
      <c r="G243" s="690" t="s">
        <v>885</v>
      </c>
      <c r="H243" s="747" t="s">
        <v>1179</v>
      </c>
      <c r="I243" s="703">
        <v>39289</v>
      </c>
      <c r="J243" s="704">
        <v>0</v>
      </c>
      <c r="K243" s="690" t="s">
        <v>885</v>
      </c>
      <c r="L243" s="705"/>
      <c r="M243" s="698">
        <v>0</v>
      </c>
      <c r="N243" s="690" t="s">
        <v>885</v>
      </c>
      <c r="O243" s="704">
        <f>M243+($O$3-J243)</f>
        <v>1192.5</v>
      </c>
      <c r="P243" s="690" t="s">
        <v>885</v>
      </c>
      <c r="Q243" s="698">
        <f t="shared" si="71"/>
        <v>2500</v>
      </c>
      <c r="R243" s="690" t="s">
        <v>885</v>
      </c>
      <c r="S243" s="704">
        <f>Q243-$O$3</f>
        <v>1307.5</v>
      </c>
      <c r="T243" s="690" t="s">
        <v>885</v>
      </c>
      <c r="U243" s="309" t="str">
        <f t="shared" si="72"/>
        <v/>
      </c>
    </row>
    <row r="244" spans="1:21" ht="30" customHeight="1" x14ac:dyDescent="0.2">
      <c r="A244" s="684"/>
      <c r="B244" s="830" t="s">
        <v>333</v>
      </c>
      <c r="C244" s="782" t="s">
        <v>334</v>
      </c>
      <c r="D244" s="739">
        <v>514</v>
      </c>
      <c r="E244" s="682" t="s">
        <v>1178</v>
      </c>
      <c r="F244" s="701">
        <v>2500</v>
      </c>
      <c r="G244" s="690" t="s">
        <v>885</v>
      </c>
      <c r="H244" s="747" t="s">
        <v>1179</v>
      </c>
      <c r="I244" s="703">
        <v>39289</v>
      </c>
      <c r="J244" s="704">
        <v>0</v>
      </c>
      <c r="K244" s="690" t="s">
        <v>885</v>
      </c>
      <c r="L244" s="705"/>
      <c r="M244" s="698">
        <v>0</v>
      </c>
      <c r="N244" s="690" t="s">
        <v>885</v>
      </c>
      <c r="O244" s="704">
        <f>M244+($O$3-J244)</f>
        <v>1192.5</v>
      </c>
      <c r="P244" s="690" t="s">
        <v>885</v>
      </c>
      <c r="Q244" s="698">
        <f t="shared" si="71"/>
        <v>2500</v>
      </c>
      <c r="R244" s="690" t="s">
        <v>885</v>
      </c>
      <c r="S244" s="704">
        <f>Q244-$O$3</f>
        <v>1307.5</v>
      </c>
      <c r="T244" s="690" t="s">
        <v>885</v>
      </c>
      <c r="U244" s="309" t="str">
        <f t="shared" si="72"/>
        <v/>
      </c>
    </row>
    <row r="245" spans="1:21" ht="15.95" customHeight="1" x14ac:dyDescent="0.2">
      <c r="A245" s="1683"/>
      <c r="B245" s="1642" t="s">
        <v>211</v>
      </c>
      <c r="C245" s="1634" t="s">
        <v>1181</v>
      </c>
      <c r="D245" s="1634" t="s">
        <v>1283</v>
      </c>
      <c r="E245" s="737" t="s">
        <v>1178</v>
      </c>
      <c r="F245" s="707">
        <v>6500</v>
      </c>
      <c r="G245" s="696" t="s">
        <v>885</v>
      </c>
      <c r="H245" s="748" t="s">
        <v>1179</v>
      </c>
      <c r="I245" s="1611">
        <v>39289</v>
      </c>
      <c r="J245" s="831">
        <v>0</v>
      </c>
      <c r="K245" s="833" t="s">
        <v>885</v>
      </c>
      <c r="L245" s="837"/>
      <c r="M245" s="835">
        <v>0</v>
      </c>
      <c r="N245" s="833" t="s">
        <v>885</v>
      </c>
      <c r="O245" s="730">
        <f>M245+($O$3-J245)</f>
        <v>1192.5</v>
      </c>
      <c r="P245" s="691" t="s">
        <v>885</v>
      </c>
      <c r="Q245" s="732">
        <f t="shared" si="71"/>
        <v>6500</v>
      </c>
      <c r="R245" s="691" t="s">
        <v>885</v>
      </c>
      <c r="S245" s="730">
        <f>Q245-$O$3</f>
        <v>5307.5</v>
      </c>
      <c r="T245" s="691" t="s">
        <v>885</v>
      </c>
      <c r="U245" s="309" t="str">
        <f t="shared" si="72"/>
        <v/>
      </c>
    </row>
    <row r="246" spans="1:21" ht="15.95" customHeight="1" x14ac:dyDescent="0.2">
      <c r="A246" s="1683"/>
      <c r="B246" s="1620"/>
      <c r="C246" s="1622"/>
      <c r="D246" s="1622"/>
      <c r="E246" s="688">
        <v>72</v>
      </c>
      <c r="F246" s="710">
        <v>10000</v>
      </c>
      <c r="G246" s="711" t="s">
        <v>963</v>
      </c>
      <c r="H246" s="325" t="s">
        <v>1179</v>
      </c>
      <c r="I246" s="1612"/>
      <c r="J246" s="832">
        <v>0</v>
      </c>
      <c r="K246" s="834" t="s">
        <v>963</v>
      </c>
      <c r="L246" s="838"/>
      <c r="M246" s="836">
        <v>0</v>
      </c>
      <c r="N246" s="834" t="s">
        <v>963</v>
      </c>
      <c r="O246" s="968">
        <f>M246+($O$4-J246)</f>
        <v>955.25</v>
      </c>
      <c r="P246" s="692" t="s">
        <v>963</v>
      </c>
      <c r="Q246" s="719">
        <f t="shared" si="71"/>
        <v>10000</v>
      </c>
      <c r="R246" s="692" t="s">
        <v>963</v>
      </c>
      <c r="S246" s="718">
        <f>Q246-$O$4</f>
        <v>9044.75</v>
      </c>
      <c r="T246" s="692" t="s">
        <v>963</v>
      </c>
      <c r="U246" s="309" t="str">
        <f t="shared" si="72"/>
        <v/>
      </c>
    </row>
    <row r="247" spans="1:21" ht="15.95" customHeight="1" x14ac:dyDescent="0.2">
      <c r="A247" s="1683"/>
      <c r="B247" s="1642" t="s">
        <v>1180</v>
      </c>
      <c r="C247" s="1634" t="s">
        <v>335</v>
      </c>
      <c r="D247" s="1634" t="s">
        <v>1286</v>
      </c>
      <c r="E247" s="737" t="s">
        <v>1178</v>
      </c>
      <c r="F247" s="707">
        <v>5000</v>
      </c>
      <c r="G247" s="696" t="s">
        <v>885</v>
      </c>
      <c r="H247" s="748" t="s">
        <v>1179</v>
      </c>
      <c r="I247" s="1611">
        <v>39289</v>
      </c>
      <c r="J247" s="831">
        <v>0</v>
      </c>
      <c r="K247" s="833" t="s">
        <v>885</v>
      </c>
      <c r="L247" s="837"/>
      <c r="M247" s="835">
        <v>0</v>
      </c>
      <c r="N247" s="833" t="s">
        <v>885</v>
      </c>
      <c r="O247" s="967">
        <f>M247+($O$3-J247)</f>
        <v>1192.5</v>
      </c>
      <c r="P247" s="691" t="s">
        <v>885</v>
      </c>
      <c r="Q247" s="732">
        <f t="shared" si="71"/>
        <v>5000</v>
      </c>
      <c r="R247" s="691" t="s">
        <v>885</v>
      </c>
      <c r="S247" s="730">
        <f>Q247-$O$3</f>
        <v>3807.5</v>
      </c>
      <c r="T247" s="691" t="s">
        <v>885</v>
      </c>
      <c r="U247" s="309" t="str">
        <f t="shared" si="72"/>
        <v/>
      </c>
    </row>
    <row r="248" spans="1:21" ht="15.95" customHeight="1" x14ac:dyDescent="0.2">
      <c r="A248" s="1683"/>
      <c r="B248" s="1620"/>
      <c r="C248" s="1622"/>
      <c r="D248" s="1622"/>
      <c r="E248" s="688">
        <v>72</v>
      </c>
      <c r="F248" s="710">
        <v>10000</v>
      </c>
      <c r="G248" s="711" t="s">
        <v>963</v>
      </c>
      <c r="H248" s="325" t="s">
        <v>1179</v>
      </c>
      <c r="I248" s="1612"/>
      <c r="J248" s="832">
        <v>0</v>
      </c>
      <c r="K248" s="834" t="s">
        <v>963</v>
      </c>
      <c r="L248" s="838"/>
      <c r="M248" s="836">
        <v>0</v>
      </c>
      <c r="N248" s="834" t="s">
        <v>963</v>
      </c>
      <c r="O248" s="968">
        <f>M248+($O$4-J248)</f>
        <v>955.25</v>
      </c>
      <c r="P248" s="692" t="s">
        <v>963</v>
      </c>
      <c r="Q248" s="719">
        <f t="shared" si="71"/>
        <v>10000</v>
      </c>
      <c r="R248" s="692" t="s">
        <v>963</v>
      </c>
      <c r="S248" s="718">
        <f>Q248-$O$4</f>
        <v>9044.75</v>
      </c>
      <c r="T248" s="692" t="s">
        <v>963</v>
      </c>
      <c r="U248" s="309" t="str">
        <f t="shared" si="72"/>
        <v/>
      </c>
    </row>
    <row r="249" spans="1:21" ht="30.2" customHeight="1" x14ac:dyDescent="0.2">
      <c r="A249" s="684"/>
      <c r="B249" s="830" t="s">
        <v>285</v>
      </c>
      <c r="C249" s="782" t="s">
        <v>1198</v>
      </c>
      <c r="D249" s="739">
        <v>109</v>
      </c>
      <c r="E249" s="682" t="s">
        <v>1178</v>
      </c>
      <c r="F249" s="701">
        <v>2500</v>
      </c>
      <c r="G249" s="690" t="s">
        <v>885</v>
      </c>
      <c r="H249" s="747" t="s">
        <v>0</v>
      </c>
      <c r="I249" s="703">
        <v>39289</v>
      </c>
      <c r="J249" s="832">
        <v>0</v>
      </c>
      <c r="K249" s="690" t="s">
        <v>885</v>
      </c>
      <c r="L249" s="705"/>
      <c r="M249" s="836">
        <v>0</v>
      </c>
      <c r="N249" s="690" t="s">
        <v>885</v>
      </c>
      <c r="O249" s="783">
        <f>M249+($O$3-J249)</f>
        <v>1192.5</v>
      </c>
      <c r="P249" s="690" t="s">
        <v>885</v>
      </c>
      <c r="Q249" s="710">
        <f>(F249-O249)+$O$3</f>
        <v>2500</v>
      </c>
      <c r="R249" s="690" t="s">
        <v>885</v>
      </c>
      <c r="S249" s="718">
        <f>Q249-$O$3</f>
        <v>1307.5</v>
      </c>
      <c r="T249" s="690" t="s">
        <v>885</v>
      </c>
      <c r="U249" s="309" t="str">
        <f t="shared" si="72"/>
        <v/>
      </c>
    </row>
    <row r="250" spans="1:21" ht="15.95" customHeight="1" x14ac:dyDescent="0.2">
      <c r="A250" s="1683"/>
      <c r="B250" s="1642" t="s">
        <v>286</v>
      </c>
      <c r="C250" s="1648" t="s">
        <v>1287</v>
      </c>
      <c r="D250" s="1634">
        <v>135</v>
      </c>
      <c r="E250" s="1635" t="s">
        <v>1178</v>
      </c>
      <c r="F250" s="707">
        <v>2500</v>
      </c>
      <c r="G250" s="696" t="s">
        <v>885</v>
      </c>
      <c r="H250" s="1637" t="s">
        <v>0</v>
      </c>
      <c r="I250" s="1611">
        <v>41089</v>
      </c>
      <c r="J250" s="1613">
        <v>1003.4</v>
      </c>
      <c r="K250" s="1615" t="s">
        <v>885</v>
      </c>
      <c r="L250" s="705"/>
      <c r="M250" s="772">
        <v>72.06</v>
      </c>
      <c r="N250" s="1261" t="s">
        <v>885</v>
      </c>
      <c r="O250" s="771">
        <f>M250+($O$3-J250)</f>
        <v>261.16000000000003</v>
      </c>
      <c r="P250" s="1261" t="s">
        <v>885</v>
      </c>
      <c r="Q250" s="730">
        <f>(F250-O250)+$O$3</f>
        <v>3431.34</v>
      </c>
      <c r="R250" s="691" t="s">
        <v>885</v>
      </c>
      <c r="S250" s="730">
        <f>Q250-$O$3</f>
        <v>2238.84</v>
      </c>
      <c r="T250" s="691" t="s">
        <v>885</v>
      </c>
      <c r="U250" s="309" t="str">
        <f t="shared" si="72"/>
        <v/>
      </c>
    </row>
    <row r="251" spans="1:21" ht="15.95" customHeight="1" x14ac:dyDescent="0.2">
      <c r="A251" s="1683"/>
      <c r="B251" s="1620"/>
      <c r="C251" s="1649"/>
      <c r="D251" s="1622"/>
      <c r="E251" s="1639"/>
      <c r="F251" s="710">
        <v>10</v>
      </c>
      <c r="G251" s="711" t="s">
        <v>200</v>
      </c>
      <c r="H251" s="1638"/>
      <c r="I251" s="1612"/>
      <c r="J251" s="1614"/>
      <c r="K251" s="1616"/>
      <c r="L251" s="705"/>
      <c r="M251" s="1286">
        <v>0</v>
      </c>
      <c r="N251" s="1262" t="s">
        <v>906</v>
      </c>
      <c r="O251" s="783">
        <f>S1-I250</f>
        <v>360</v>
      </c>
      <c r="P251" s="1262" t="s">
        <v>906</v>
      </c>
      <c r="Q251" s="720">
        <v>44741</v>
      </c>
      <c r="R251" s="692"/>
      <c r="S251" s="710">
        <f>Q251-$S$1</f>
        <v>3292</v>
      </c>
      <c r="T251" s="692" t="s">
        <v>906</v>
      </c>
      <c r="U251" s="309" t="str">
        <f t="shared" si="72"/>
        <v/>
      </c>
    </row>
    <row r="252" spans="1:21" ht="30.2" customHeight="1" x14ac:dyDescent="0.2">
      <c r="A252" s="684"/>
      <c r="B252" s="966" t="s">
        <v>288</v>
      </c>
      <c r="C252" s="849" t="s">
        <v>1199</v>
      </c>
      <c r="D252" s="849" t="s">
        <v>1288</v>
      </c>
      <c r="E252" s="682" t="s">
        <v>1178</v>
      </c>
      <c r="F252" s="701">
        <v>1250</v>
      </c>
      <c r="G252" s="690" t="s">
        <v>885</v>
      </c>
      <c r="H252" s="702" t="s">
        <v>0</v>
      </c>
      <c r="I252" s="703">
        <v>39289</v>
      </c>
      <c r="J252" s="704">
        <v>0</v>
      </c>
      <c r="K252" s="690" t="s">
        <v>885</v>
      </c>
      <c r="L252" s="705"/>
      <c r="M252" s="698">
        <v>0</v>
      </c>
      <c r="N252" s="690" t="s">
        <v>885</v>
      </c>
      <c r="O252" s="704">
        <f>O3-J252+M252</f>
        <v>1192.5</v>
      </c>
      <c r="P252" s="690" t="s">
        <v>885</v>
      </c>
      <c r="Q252" s="704">
        <f>J252+F252</f>
        <v>1250</v>
      </c>
      <c r="R252" s="690" t="s">
        <v>885</v>
      </c>
      <c r="S252" s="704">
        <f>Q252-$O$3</f>
        <v>57.5</v>
      </c>
      <c r="T252" s="690" t="s">
        <v>885</v>
      </c>
      <c r="U252" s="309" t="str">
        <f t="shared" si="72"/>
        <v/>
      </c>
    </row>
    <row r="253" spans="1:21" ht="30.2" customHeight="1" x14ac:dyDescent="0.2">
      <c r="A253" s="684"/>
      <c r="B253" s="966" t="s">
        <v>288</v>
      </c>
      <c r="C253" s="849" t="s">
        <v>1199</v>
      </c>
      <c r="D253" s="849" t="s">
        <v>1289</v>
      </c>
      <c r="E253" s="682" t="s">
        <v>1178</v>
      </c>
      <c r="F253" s="701">
        <v>1250</v>
      </c>
      <c r="G253" s="690" t="s">
        <v>885</v>
      </c>
      <c r="H253" s="702" t="s">
        <v>0</v>
      </c>
      <c r="I253" s="703">
        <v>39289</v>
      </c>
      <c r="J253" s="704">
        <v>0</v>
      </c>
      <c r="K253" s="690" t="s">
        <v>885</v>
      </c>
      <c r="L253" s="705"/>
      <c r="M253" s="698">
        <v>0</v>
      </c>
      <c r="N253" s="690" t="s">
        <v>885</v>
      </c>
      <c r="O253" s="704">
        <f t="shared" ref="O253:O261" si="73">M253+($O$3-J253)</f>
        <v>1192.5</v>
      </c>
      <c r="P253" s="690" t="s">
        <v>885</v>
      </c>
      <c r="Q253" s="704">
        <f>J253+F253</f>
        <v>1250</v>
      </c>
      <c r="R253" s="690" t="s">
        <v>885</v>
      </c>
      <c r="S253" s="704">
        <f t="shared" ref="S253:S261" si="74">Q253-$O$3</f>
        <v>57.5</v>
      </c>
      <c r="T253" s="690" t="s">
        <v>885</v>
      </c>
      <c r="U253" s="309" t="str">
        <f t="shared" si="72"/>
        <v/>
      </c>
    </row>
    <row r="254" spans="1:21" ht="30.2" customHeight="1" x14ac:dyDescent="0.2">
      <c r="A254" s="684"/>
      <c r="B254" s="966" t="s">
        <v>288</v>
      </c>
      <c r="C254" s="849" t="s">
        <v>1199</v>
      </c>
      <c r="D254" s="849" t="s">
        <v>1290</v>
      </c>
      <c r="E254" s="682" t="s">
        <v>1178</v>
      </c>
      <c r="F254" s="701">
        <v>1250</v>
      </c>
      <c r="G254" s="690" t="s">
        <v>885</v>
      </c>
      <c r="H254" s="702" t="s">
        <v>0</v>
      </c>
      <c r="I254" s="703">
        <v>39289</v>
      </c>
      <c r="J254" s="704">
        <v>0</v>
      </c>
      <c r="K254" s="690" t="s">
        <v>885</v>
      </c>
      <c r="L254" s="705"/>
      <c r="M254" s="698">
        <v>0</v>
      </c>
      <c r="N254" s="690" t="s">
        <v>885</v>
      </c>
      <c r="O254" s="704">
        <f t="shared" si="73"/>
        <v>1192.5</v>
      </c>
      <c r="P254" s="690" t="s">
        <v>885</v>
      </c>
      <c r="Q254" s="704">
        <f t="shared" ref="Q254:Q261" si="75">J254+F254</f>
        <v>1250</v>
      </c>
      <c r="R254" s="690" t="s">
        <v>885</v>
      </c>
      <c r="S254" s="704">
        <f t="shared" si="74"/>
        <v>57.5</v>
      </c>
      <c r="T254" s="690" t="s">
        <v>885</v>
      </c>
      <c r="U254" s="309" t="str">
        <f t="shared" si="72"/>
        <v/>
      </c>
    </row>
    <row r="255" spans="1:21" ht="30.2" customHeight="1" x14ac:dyDescent="0.2">
      <c r="A255" s="684"/>
      <c r="B255" s="966" t="s">
        <v>288</v>
      </c>
      <c r="C255" s="849" t="s">
        <v>1199</v>
      </c>
      <c r="D255" s="849" t="s">
        <v>1291</v>
      </c>
      <c r="E255" s="682" t="s">
        <v>1178</v>
      </c>
      <c r="F255" s="701">
        <v>1250</v>
      </c>
      <c r="G255" s="690" t="s">
        <v>885</v>
      </c>
      <c r="H255" s="702" t="s">
        <v>0</v>
      </c>
      <c r="I255" s="703">
        <v>39289</v>
      </c>
      <c r="J255" s="704">
        <v>0</v>
      </c>
      <c r="K255" s="690" t="s">
        <v>885</v>
      </c>
      <c r="L255" s="705"/>
      <c r="M255" s="698">
        <v>0</v>
      </c>
      <c r="N255" s="690" t="s">
        <v>885</v>
      </c>
      <c r="O255" s="704">
        <f t="shared" si="73"/>
        <v>1192.5</v>
      </c>
      <c r="P255" s="690" t="s">
        <v>885</v>
      </c>
      <c r="Q255" s="704">
        <f t="shared" si="75"/>
        <v>1250</v>
      </c>
      <c r="R255" s="690" t="s">
        <v>885</v>
      </c>
      <c r="S255" s="704">
        <f t="shared" si="74"/>
        <v>57.5</v>
      </c>
      <c r="T255" s="690" t="s">
        <v>885</v>
      </c>
      <c r="U255" s="309" t="str">
        <f t="shared" si="72"/>
        <v/>
      </c>
    </row>
    <row r="256" spans="1:21" ht="30.2" customHeight="1" x14ac:dyDescent="0.2">
      <c r="A256" s="684"/>
      <c r="B256" s="966" t="s">
        <v>288</v>
      </c>
      <c r="C256" s="849" t="s">
        <v>1199</v>
      </c>
      <c r="D256" s="849" t="s">
        <v>1292</v>
      </c>
      <c r="E256" s="682" t="s">
        <v>1178</v>
      </c>
      <c r="F256" s="701">
        <v>1250</v>
      </c>
      <c r="G256" s="690" t="s">
        <v>885</v>
      </c>
      <c r="H256" s="702" t="s">
        <v>0</v>
      </c>
      <c r="I256" s="703">
        <v>39289</v>
      </c>
      <c r="J256" s="704">
        <v>0</v>
      </c>
      <c r="K256" s="690" t="s">
        <v>885</v>
      </c>
      <c r="L256" s="705"/>
      <c r="M256" s="698">
        <v>0</v>
      </c>
      <c r="N256" s="690" t="s">
        <v>885</v>
      </c>
      <c r="O256" s="704">
        <f t="shared" si="73"/>
        <v>1192.5</v>
      </c>
      <c r="P256" s="690" t="s">
        <v>885</v>
      </c>
      <c r="Q256" s="704">
        <f t="shared" si="75"/>
        <v>1250</v>
      </c>
      <c r="R256" s="690" t="s">
        <v>885</v>
      </c>
      <c r="S256" s="704">
        <f t="shared" si="74"/>
        <v>57.5</v>
      </c>
      <c r="T256" s="690" t="s">
        <v>885</v>
      </c>
      <c r="U256" s="309" t="str">
        <f t="shared" si="72"/>
        <v/>
      </c>
    </row>
    <row r="257" spans="1:21" ht="30.2" customHeight="1" x14ac:dyDescent="0.2">
      <c r="A257" s="684"/>
      <c r="B257" s="966" t="s">
        <v>288</v>
      </c>
      <c r="C257" s="849" t="s">
        <v>1199</v>
      </c>
      <c r="D257" s="849" t="s">
        <v>1293</v>
      </c>
      <c r="E257" s="682" t="s">
        <v>1178</v>
      </c>
      <c r="F257" s="701">
        <v>1250</v>
      </c>
      <c r="G257" s="690" t="s">
        <v>885</v>
      </c>
      <c r="H257" s="702" t="s">
        <v>0</v>
      </c>
      <c r="I257" s="703">
        <v>39289</v>
      </c>
      <c r="J257" s="704">
        <v>0</v>
      </c>
      <c r="K257" s="690" t="s">
        <v>885</v>
      </c>
      <c r="L257" s="705"/>
      <c r="M257" s="698">
        <v>0</v>
      </c>
      <c r="N257" s="690" t="s">
        <v>885</v>
      </c>
      <c r="O257" s="704">
        <f t="shared" si="73"/>
        <v>1192.5</v>
      </c>
      <c r="P257" s="690" t="s">
        <v>885</v>
      </c>
      <c r="Q257" s="704">
        <f t="shared" si="75"/>
        <v>1250</v>
      </c>
      <c r="R257" s="690" t="s">
        <v>885</v>
      </c>
      <c r="S257" s="704">
        <f t="shared" si="74"/>
        <v>57.5</v>
      </c>
      <c r="T257" s="690" t="s">
        <v>885</v>
      </c>
      <c r="U257" s="309" t="str">
        <f t="shared" si="72"/>
        <v/>
      </c>
    </row>
    <row r="258" spans="1:21" ht="30" customHeight="1" x14ac:dyDescent="0.2">
      <c r="A258" s="684"/>
      <c r="B258" s="966" t="s">
        <v>288</v>
      </c>
      <c r="C258" s="849" t="s">
        <v>1199</v>
      </c>
      <c r="D258" s="849" t="s">
        <v>1294</v>
      </c>
      <c r="E258" s="682" t="s">
        <v>1178</v>
      </c>
      <c r="F258" s="701">
        <v>1250</v>
      </c>
      <c r="G258" s="690" t="s">
        <v>885</v>
      </c>
      <c r="H258" s="702" t="s">
        <v>0</v>
      </c>
      <c r="I258" s="703">
        <v>39289</v>
      </c>
      <c r="J258" s="704">
        <v>0</v>
      </c>
      <c r="K258" s="690" t="s">
        <v>885</v>
      </c>
      <c r="L258" s="705"/>
      <c r="M258" s="698">
        <v>0</v>
      </c>
      <c r="N258" s="690" t="s">
        <v>885</v>
      </c>
      <c r="O258" s="704">
        <f t="shared" si="73"/>
        <v>1192.5</v>
      </c>
      <c r="P258" s="690" t="s">
        <v>885</v>
      </c>
      <c r="Q258" s="704">
        <f t="shared" si="75"/>
        <v>1250</v>
      </c>
      <c r="R258" s="690" t="s">
        <v>885</v>
      </c>
      <c r="S258" s="704">
        <f t="shared" si="74"/>
        <v>57.5</v>
      </c>
      <c r="T258" s="690" t="s">
        <v>885</v>
      </c>
      <c r="U258" s="309" t="str">
        <f t="shared" si="72"/>
        <v/>
      </c>
    </row>
    <row r="259" spans="1:21" ht="30" customHeight="1" x14ac:dyDescent="0.2">
      <c r="A259" s="684"/>
      <c r="B259" s="966" t="s">
        <v>288</v>
      </c>
      <c r="C259" s="849" t="s">
        <v>1199</v>
      </c>
      <c r="D259" s="849" t="s">
        <v>1295</v>
      </c>
      <c r="E259" s="682" t="s">
        <v>1178</v>
      </c>
      <c r="F259" s="701">
        <v>1250</v>
      </c>
      <c r="G259" s="690" t="s">
        <v>885</v>
      </c>
      <c r="H259" s="702" t="s">
        <v>0</v>
      </c>
      <c r="I259" s="703">
        <v>39289</v>
      </c>
      <c r="J259" s="704">
        <v>0</v>
      </c>
      <c r="K259" s="690" t="s">
        <v>885</v>
      </c>
      <c r="L259" s="705"/>
      <c r="M259" s="698">
        <v>0</v>
      </c>
      <c r="N259" s="690" t="s">
        <v>885</v>
      </c>
      <c r="O259" s="704">
        <f t="shared" si="73"/>
        <v>1192.5</v>
      </c>
      <c r="P259" s="690" t="s">
        <v>885</v>
      </c>
      <c r="Q259" s="704">
        <f t="shared" si="75"/>
        <v>1250</v>
      </c>
      <c r="R259" s="690" t="s">
        <v>885</v>
      </c>
      <c r="S259" s="704">
        <f t="shared" si="74"/>
        <v>57.5</v>
      </c>
      <c r="T259" s="690" t="s">
        <v>885</v>
      </c>
    </row>
    <row r="260" spans="1:21" ht="30" customHeight="1" x14ac:dyDescent="0.2">
      <c r="A260" s="684"/>
      <c r="B260" s="966" t="s">
        <v>288</v>
      </c>
      <c r="C260" s="849" t="s">
        <v>1199</v>
      </c>
      <c r="D260" s="849" t="s">
        <v>1296</v>
      </c>
      <c r="E260" s="682" t="s">
        <v>1178</v>
      </c>
      <c r="F260" s="701">
        <v>1250</v>
      </c>
      <c r="G260" s="690" t="s">
        <v>885</v>
      </c>
      <c r="H260" s="702" t="s">
        <v>0</v>
      </c>
      <c r="I260" s="703">
        <v>39289</v>
      </c>
      <c r="J260" s="704">
        <v>0</v>
      </c>
      <c r="K260" s="690" t="s">
        <v>885</v>
      </c>
      <c r="L260" s="705"/>
      <c r="M260" s="698">
        <v>0</v>
      </c>
      <c r="N260" s="690" t="s">
        <v>885</v>
      </c>
      <c r="O260" s="704">
        <f t="shared" si="73"/>
        <v>1192.5</v>
      </c>
      <c r="P260" s="690" t="s">
        <v>885</v>
      </c>
      <c r="Q260" s="704">
        <f t="shared" si="75"/>
        <v>1250</v>
      </c>
      <c r="R260" s="690" t="s">
        <v>885</v>
      </c>
      <c r="S260" s="704">
        <f t="shared" si="74"/>
        <v>57.5</v>
      </c>
      <c r="T260" s="690" t="s">
        <v>885</v>
      </c>
    </row>
    <row r="261" spans="1:21" ht="30" customHeight="1" x14ac:dyDescent="0.2">
      <c r="A261" s="684"/>
      <c r="B261" s="830" t="s">
        <v>288</v>
      </c>
      <c r="C261" s="782" t="s">
        <v>1199</v>
      </c>
      <c r="D261" s="782" t="s">
        <v>1297</v>
      </c>
      <c r="E261" s="682" t="s">
        <v>1178</v>
      </c>
      <c r="F261" s="701">
        <v>1250</v>
      </c>
      <c r="G261" s="690" t="s">
        <v>885</v>
      </c>
      <c r="H261" s="702" t="s">
        <v>0</v>
      </c>
      <c r="I261" s="703">
        <v>39289</v>
      </c>
      <c r="J261" s="704">
        <v>0</v>
      </c>
      <c r="K261" s="690" t="s">
        <v>885</v>
      </c>
      <c r="L261" s="705"/>
      <c r="M261" s="698">
        <v>0</v>
      </c>
      <c r="N261" s="690" t="s">
        <v>885</v>
      </c>
      <c r="O261" s="704">
        <f t="shared" si="73"/>
        <v>1192.5</v>
      </c>
      <c r="P261" s="690" t="s">
        <v>885</v>
      </c>
      <c r="Q261" s="704">
        <f t="shared" si="75"/>
        <v>1250</v>
      </c>
      <c r="R261" s="690" t="s">
        <v>885</v>
      </c>
      <c r="S261" s="704">
        <f t="shared" si="74"/>
        <v>57.5</v>
      </c>
      <c r="T261" s="690" t="s">
        <v>885</v>
      </c>
    </row>
    <row r="262" spans="1:21" ht="30" customHeight="1" x14ac:dyDescent="0.2">
      <c r="A262" s="685"/>
      <c r="B262" s="830" t="s">
        <v>1391</v>
      </c>
      <c r="C262" s="782" t="s">
        <v>1392</v>
      </c>
      <c r="D262" s="739" t="s">
        <v>1084</v>
      </c>
      <c r="E262" s="682" t="s">
        <v>1393</v>
      </c>
      <c r="F262" s="701">
        <v>500</v>
      </c>
      <c r="G262" s="690" t="s">
        <v>885</v>
      </c>
      <c r="H262" s="702" t="s">
        <v>0</v>
      </c>
      <c r="I262" s="703">
        <v>41418</v>
      </c>
      <c r="J262" s="704">
        <v>1171.2</v>
      </c>
      <c r="K262" s="690" t="s">
        <v>120</v>
      </c>
      <c r="L262" s="1024"/>
      <c r="M262" s="698">
        <v>0</v>
      </c>
      <c r="N262" s="690" t="s">
        <v>885</v>
      </c>
      <c r="O262" s="704">
        <f t="shared" ref="O262" si="76">M262+($I$3-J262)</f>
        <v>21.299999999999955</v>
      </c>
      <c r="P262" s="690" t="s">
        <v>885</v>
      </c>
      <c r="Q262" s="704">
        <f>(F262-O262)+$I$3</f>
        <v>1671.2</v>
      </c>
      <c r="R262" s="690" t="s">
        <v>885</v>
      </c>
      <c r="S262" s="704">
        <f>Q262-$O$3</f>
        <v>478.70000000000005</v>
      </c>
      <c r="T262" s="690" t="s">
        <v>885</v>
      </c>
    </row>
    <row r="263" spans="1:21" x14ac:dyDescent="0.2">
      <c r="A263" s="685"/>
      <c r="B263" s="309" t="s">
        <v>1437</v>
      </c>
      <c r="E263" s="681"/>
    </row>
    <row r="264" spans="1:21" x14ac:dyDescent="0.2">
      <c r="A264" s="685"/>
      <c r="E264" s="681"/>
    </row>
    <row r="265" spans="1:21" x14ac:dyDescent="0.2">
      <c r="A265" s="685"/>
      <c r="E265" s="681"/>
    </row>
    <row r="266" spans="1:21" x14ac:dyDescent="0.2">
      <c r="A266" s="685"/>
      <c r="E266" s="681"/>
    </row>
    <row r="267" spans="1:21" x14ac:dyDescent="0.2">
      <c r="A267" s="685"/>
      <c r="E267" s="681"/>
    </row>
    <row r="268" spans="1:21" x14ac:dyDescent="0.2">
      <c r="A268" s="685"/>
      <c r="E268" s="681"/>
    </row>
    <row r="269" spans="1:21" x14ac:dyDescent="0.2">
      <c r="E269" s="681"/>
    </row>
    <row r="270" spans="1:21" ht="14.25" x14ac:dyDescent="0.2">
      <c r="D270" s="326"/>
      <c r="E270" s="681"/>
    </row>
    <row r="271" spans="1:21" ht="14.25" x14ac:dyDescent="0.2">
      <c r="D271" s="326"/>
      <c r="E271" s="681"/>
    </row>
    <row r="272" spans="1:21" x14ac:dyDescent="0.2">
      <c r="E272" s="681"/>
    </row>
    <row r="273" spans="5:5" x14ac:dyDescent="0.2">
      <c r="E273" s="681"/>
    </row>
    <row r="274" spans="5:5" x14ac:dyDescent="0.2">
      <c r="E274" s="681"/>
    </row>
    <row r="275" spans="5:5" x14ac:dyDescent="0.2">
      <c r="E275" s="681"/>
    </row>
    <row r="276" spans="5:5" x14ac:dyDescent="0.2">
      <c r="E276" s="681"/>
    </row>
    <row r="277" spans="5:5" x14ac:dyDescent="0.2">
      <c r="E277" s="681"/>
    </row>
    <row r="278" spans="5:5" x14ac:dyDescent="0.2">
      <c r="E278" s="681"/>
    </row>
    <row r="279" spans="5:5" x14ac:dyDescent="0.2">
      <c r="E279" s="681"/>
    </row>
    <row r="280" spans="5:5" x14ac:dyDescent="0.2">
      <c r="E280" s="681"/>
    </row>
    <row r="281" spans="5:5" x14ac:dyDescent="0.2">
      <c r="E281" s="681"/>
    </row>
    <row r="282" spans="5:5" x14ac:dyDescent="0.2">
      <c r="E282" s="681"/>
    </row>
    <row r="283" spans="5:5" x14ac:dyDescent="0.2">
      <c r="E283" s="681"/>
    </row>
    <row r="284" spans="5:5" x14ac:dyDescent="0.2">
      <c r="E284" s="681"/>
    </row>
    <row r="285" spans="5:5" x14ac:dyDescent="0.2">
      <c r="E285" s="681"/>
    </row>
    <row r="286" spans="5:5" x14ac:dyDescent="0.2">
      <c r="E286" s="681"/>
    </row>
    <row r="287" spans="5:5" x14ac:dyDescent="0.2">
      <c r="E287" s="681"/>
    </row>
    <row r="288" spans="5:5" x14ac:dyDescent="0.2">
      <c r="E288" s="681"/>
    </row>
    <row r="289" spans="5:5" x14ac:dyDescent="0.2">
      <c r="E289" s="681"/>
    </row>
    <row r="290" spans="5:5" x14ac:dyDescent="0.2">
      <c r="E290" s="681"/>
    </row>
    <row r="291" spans="5:5" x14ac:dyDescent="0.2">
      <c r="E291" s="681"/>
    </row>
    <row r="292" spans="5:5" x14ac:dyDescent="0.2">
      <c r="E292" s="681"/>
    </row>
    <row r="293" spans="5:5" x14ac:dyDescent="0.2">
      <c r="E293" s="681"/>
    </row>
    <row r="294" spans="5:5" x14ac:dyDescent="0.2">
      <c r="E294" s="681"/>
    </row>
    <row r="295" spans="5:5" x14ac:dyDescent="0.2">
      <c r="E295" s="681"/>
    </row>
    <row r="296" spans="5:5" x14ac:dyDescent="0.2">
      <c r="E296" s="681"/>
    </row>
    <row r="297" spans="5:5" x14ac:dyDescent="0.2">
      <c r="E297" s="681"/>
    </row>
    <row r="298" spans="5:5" x14ac:dyDescent="0.2">
      <c r="E298" s="681"/>
    </row>
    <row r="299" spans="5:5" x14ac:dyDescent="0.2">
      <c r="E299" s="681"/>
    </row>
  </sheetData>
  <autoFilter ref="A10:V263"/>
  <mergeCells count="296">
    <mergeCell ref="E133:E134"/>
    <mergeCell ref="H133:H134"/>
    <mergeCell ref="H135:H136"/>
    <mergeCell ref="I135:I136"/>
    <mergeCell ref="J135:J136"/>
    <mergeCell ref="P156:P157"/>
    <mergeCell ref="H156:H157"/>
    <mergeCell ref="D156:D157"/>
    <mergeCell ref="C156:C157"/>
    <mergeCell ref="E156:E157"/>
    <mergeCell ref="M156:M157"/>
    <mergeCell ref="N156:N157"/>
    <mergeCell ref="O156:O157"/>
    <mergeCell ref="P133:P134"/>
    <mergeCell ref="M133:M134"/>
    <mergeCell ref="N133:N134"/>
    <mergeCell ref="O133:O134"/>
    <mergeCell ref="P135:P136"/>
    <mergeCell ref="P142:P143"/>
    <mergeCell ref="J142:J143"/>
    <mergeCell ref="K142:K143"/>
    <mergeCell ref="M142:M143"/>
    <mergeCell ref="N142:N143"/>
    <mergeCell ref="O142:O143"/>
    <mergeCell ref="E104:E105"/>
    <mergeCell ref="F29:G29"/>
    <mergeCell ref="C44:C45"/>
    <mergeCell ref="D44:D45"/>
    <mergeCell ref="E44:E45"/>
    <mergeCell ref="I30:I31"/>
    <mergeCell ref="J30:J31"/>
    <mergeCell ref="K30:K31"/>
    <mergeCell ref="I156:I157"/>
    <mergeCell ref="J156:J157"/>
    <mergeCell ref="K156:K157"/>
    <mergeCell ref="C30:C31"/>
    <mergeCell ref="E30:E31"/>
    <mergeCell ref="H30:H31"/>
    <mergeCell ref="C133:C134"/>
    <mergeCell ref="D133:D134"/>
    <mergeCell ref="I133:I134"/>
    <mergeCell ref="J133:J134"/>
    <mergeCell ref="K133:K134"/>
    <mergeCell ref="C142:C143"/>
    <mergeCell ref="D142:D143"/>
    <mergeCell ref="E142:E143"/>
    <mergeCell ref="H142:H143"/>
    <mergeCell ref="I142:I143"/>
    <mergeCell ref="A13:A14"/>
    <mergeCell ref="B104:B105"/>
    <mergeCell ref="C104:C105"/>
    <mergeCell ref="D104:D105"/>
    <mergeCell ref="B34:B35"/>
    <mergeCell ref="B36:B37"/>
    <mergeCell ref="B32:B33"/>
    <mergeCell ref="B38:B39"/>
    <mergeCell ref="B40:B41"/>
    <mergeCell ref="B42:B43"/>
    <mergeCell ref="D30:D31"/>
    <mergeCell ref="B30:B31"/>
    <mergeCell ref="B23:B24"/>
    <mergeCell ref="C23:C24"/>
    <mergeCell ref="D23:D24"/>
    <mergeCell ref="B25:B26"/>
    <mergeCell ref="C25:C26"/>
    <mergeCell ref="D25:D26"/>
    <mergeCell ref="B27:B28"/>
    <mergeCell ref="C27:C28"/>
    <mergeCell ref="D27:D28"/>
    <mergeCell ref="B133:B134"/>
    <mergeCell ref="B171:B172"/>
    <mergeCell ref="B177:B178"/>
    <mergeCell ref="B174:B175"/>
    <mergeCell ref="A125:A126"/>
    <mergeCell ref="A115:A116"/>
    <mergeCell ref="A44:A45"/>
    <mergeCell ref="A30:A31"/>
    <mergeCell ref="B156:B157"/>
    <mergeCell ref="A177:A178"/>
    <mergeCell ref="A174:A175"/>
    <mergeCell ref="A171:A172"/>
    <mergeCell ref="A168:A169"/>
    <mergeCell ref="A158:A159"/>
    <mergeCell ref="A142:A143"/>
    <mergeCell ref="A135:A136"/>
    <mergeCell ref="A133:A134"/>
    <mergeCell ref="B44:B45"/>
    <mergeCell ref="B142:B143"/>
    <mergeCell ref="B135:B136"/>
    <mergeCell ref="A250:A251"/>
    <mergeCell ref="A247:A248"/>
    <mergeCell ref="A245:A246"/>
    <mergeCell ref="A236:A237"/>
    <mergeCell ref="A226:A227"/>
    <mergeCell ref="A206:A207"/>
    <mergeCell ref="A197:A198"/>
    <mergeCell ref="A187:A188"/>
    <mergeCell ref="A185:A186"/>
    <mergeCell ref="A208:A209"/>
    <mergeCell ref="A211:A212"/>
    <mergeCell ref="A224:A225"/>
    <mergeCell ref="J9:K9"/>
    <mergeCell ref="S9:T9"/>
    <mergeCell ref="B13:B14"/>
    <mergeCell ref="C13:C14"/>
    <mergeCell ref="D13:D14"/>
    <mergeCell ref="E13:E14"/>
    <mergeCell ref="I7:L7"/>
    <mergeCell ref="M7:N7"/>
    <mergeCell ref="O7:P7"/>
    <mergeCell ref="Q7:R7"/>
    <mergeCell ref="S7:T7"/>
    <mergeCell ref="I8:L8"/>
    <mergeCell ref="M8:N8"/>
    <mergeCell ref="O8:P8"/>
    <mergeCell ref="Q8:R8"/>
    <mergeCell ref="S8:T8"/>
    <mergeCell ref="M9:N9"/>
    <mergeCell ref="O9:P9"/>
    <mergeCell ref="Q9:R9"/>
    <mergeCell ref="P115:P116"/>
    <mergeCell ref="B125:B126"/>
    <mergeCell ref="C125:C126"/>
    <mergeCell ref="D125:D126"/>
    <mergeCell ref="E125:E126"/>
    <mergeCell ref="H125:H126"/>
    <mergeCell ref="I125:I126"/>
    <mergeCell ref="J125:J126"/>
    <mergeCell ref="K125:K126"/>
    <mergeCell ref="I115:I116"/>
    <mergeCell ref="J115:J116"/>
    <mergeCell ref="K115:K116"/>
    <mergeCell ref="M115:M116"/>
    <mergeCell ref="N115:N116"/>
    <mergeCell ref="O115:O116"/>
    <mergeCell ref="B115:B116"/>
    <mergeCell ref="C115:C116"/>
    <mergeCell ref="D115:D116"/>
    <mergeCell ref="E115:E116"/>
    <mergeCell ref="H115:H116"/>
    <mergeCell ref="M125:M126"/>
    <mergeCell ref="N125:N126"/>
    <mergeCell ref="O125:O126"/>
    <mergeCell ref="P125:P126"/>
    <mergeCell ref="C135:C136"/>
    <mergeCell ref="D135:D136"/>
    <mergeCell ref="E135:E136"/>
    <mergeCell ref="O135:O136"/>
    <mergeCell ref="H168:H169"/>
    <mergeCell ref="I168:I169"/>
    <mergeCell ref="J168:J169"/>
    <mergeCell ref="K168:K169"/>
    <mergeCell ref="B158:B159"/>
    <mergeCell ref="C158:C159"/>
    <mergeCell ref="D158:D159"/>
    <mergeCell ref="E158:E159"/>
    <mergeCell ref="H158:H159"/>
    <mergeCell ref="B168:B169"/>
    <mergeCell ref="C168:C169"/>
    <mergeCell ref="D168:D169"/>
    <mergeCell ref="E168:E169"/>
    <mergeCell ref="K135:K136"/>
    <mergeCell ref="M135:M136"/>
    <mergeCell ref="N135:N136"/>
    <mergeCell ref="P158:P159"/>
    <mergeCell ref="I158:I159"/>
    <mergeCell ref="J158:J159"/>
    <mergeCell ref="K158:K159"/>
    <mergeCell ref="M158:M159"/>
    <mergeCell ref="N158:N159"/>
    <mergeCell ref="O158:O159"/>
    <mergeCell ref="J174:J175"/>
    <mergeCell ref="K174:K175"/>
    <mergeCell ref="M168:M169"/>
    <mergeCell ref="N168:N169"/>
    <mergeCell ref="O168:O169"/>
    <mergeCell ref="P168:P169"/>
    <mergeCell ref="M174:M175"/>
    <mergeCell ref="N174:N175"/>
    <mergeCell ref="O174:O175"/>
    <mergeCell ref="P174:P175"/>
    <mergeCell ref="P177:P178"/>
    <mergeCell ref="I177:I178"/>
    <mergeCell ref="J177:J178"/>
    <mergeCell ref="K177:K178"/>
    <mergeCell ref="M177:M178"/>
    <mergeCell ref="N177:N178"/>
    <mergeCell ref="O177:O178"/>
    <mergeCell ref="B184:D184"/>
    <mergeCell ref="C171:C172"/>
    <mergeCell ref="D171:D172"/>
    <mergeCell ref="E171:E172"/>
    <mergeCell ref="H171:H172"/>
    <mergeCell ref="P171:P172"/>
    <mergeCell ref="I171:I172"/>
    <mergeCell ref="J171:J172"/>
    <mergeCell ref="K171:K172"/>
    <mergeCell ref="M171:M172"/>
    <mergeCell ref="N171:N172"/>
    <mergeCell ref="O171:O172"/>
    <mergeCell ref="C211:C212"/>
    <mergeCell ref="B206:B207"/>
    <mergeCell ref="C206:C207"/>
    <mergeCell ref="D206:D207"/>
    <mergeCell ref="I206:I207"/>
    <mergeCell ref="B197:B198"/>
    <mergeCell ref="C197:C198"/>
    <mergeCell ref="D197:D198"/>
    <mergeCell ref="E197:E198"/>
    <mergeCell ref="H197:H198"/>
    <mergeCell ref="I197:I198"/>
    <mergeCell ref="D211:D212"/>
    <mergeCell ref="E211:E212"/>
    <mergeCell ref="H211:H212"/>
    <mergeCell ref="I211:I212"/>
    <mergeCell ref="I224:I225"/>
    <mergeCell ref="J224:J225"/>
    <mergeCell ref="K224:K225"/>
    <mergeCell ref="I236:I237"/>
    <mergeCell ref="J236:J237"/>
    <mergeCell ref="K236:K237"/>
    <mergeCell ref="I226:I227"/>
    <mergeCell ref="J226:J227"/>
    <mergeCell ref="K226:K227"/>
    <mergeCell ref="J211:J212"/>
    <mergeCell ref="K211:K212"/>
    <mergeCell ref="I245:I246"/>
    <mergeCell ref="H250:H251"/>
    <mergeCell ref="I250:I251"/>
    <mergeCell ref="J250:J251"/>
    <mergeCell ref="K250:K251"/>
    <mergeCell ref="B247:B248"/>
    <mergeCell ref="C247:C248"/>
    <mergeCell ref="D247:D248"/>
    <mergeCell ref="I247:I248"/>
    <mergeCell ref="B250:B251"/>
    <mergeCell ref="C250:C251"/>
    <mergeCell ref="D250:D251"/>
    <mergeCell ref="E250:E251"/>
    <mergeCell ref="B236:B237"/>
    <mergeCell ref="C236:C237"/>
    <mergeCell ref="D236:D237"/>
    <mergeCell ref="E236:E237"/>
    <mergeCell ref="H236:H237"/>
    <mergeCell ref="B224:B225"/>
    <mergeCell ref="C224:C225"/>
    <mergeCell ref="D224:D225"/>
    <mergeCell ref="E224:E225"/>
    <mergeCell ref="E23:E24"/>
    <mergeCell ref="H23:H24"/>
    <mergeCell ref="B245:B246"/>
    <mergeCell ref="C245:C246"/>
    <mergeCell ref="D245:D246"/>
    <mergeCell ref="B208:B209"/>
    <mergeCell ref="C208:C209"/>
    <mergeCell ref="D208:D209"/>
    <mergeCell ref="C174:C175"/>
    <mergeCell ref="D174:D175"/>
    <mergeCell ref="E174:E175"/>
    <mergeCell ref="H174:H175"/>
    <mergeCell ref="B187:B188"/>
    <mergeCell ref="C187:C188"/>
    <mergeCell ref="D187:D188"/>
    <mergeCell ref="E187:E188"/>
    <mergeCell ref="H187:H188"/>
    <mergeCell ref="B185:B186"/>
    <mergeCell ref="C185:C186"/>
    <mergeCell ref="H224:H225"/>
    <mergeCell ref="E226:E227"/>
    <mergeCell ref="H226:H227"/>
    <mergeCell ref="D226:D227"/>
    <mergeCell ref="B211:B212"/>
    <mergeCell ref="I23:I24"/>
    <mergeCell ref="J23:J24"/>
    <mergeCell ref="K23:K24"/>
    <mergeCell ref="M23:M24"/>
    <mergeCell ref="N23:N24"/>
    <mergeCell ref="O23:O24"/>
    <mergeCell ref="P23:P24"/>
    <mergeCell ref="B226:B227"/>
    <mergeCell ref="C226:C227"/>
    <mergeCell ref="I208:I209"/>
    <mergeCell ref="K187:K188"/>
    <mergeCell ref="K197:K198"/>
    <mergeCell ref="J197:J198"/>
    <mergeCell ref="I174:I175"/>
    <mergeCell ref="I187:I188"/>
    <mergeCell ref="J187:J188"/>
    <mergeCell ref="D185:D186"/>
    <mergeCell ref="I185:I186"/>
    <mergeCell ref="J185:J186"/>
    <mergeCell ref="K185:K186"/>
    <mergeCell ref="C177:C178"/>
    <mergeCell ref="D177:D178"/>
    <mergeCell ref="E177:E178"/>
    <mergeCell ref="H177:H178"/>
  </mergeCells>
  <conditionalFormatting sqref="U1:U1048576">
    <cfRule type="containsText" dxfId="6" priority="2" stopIfTrue="1" operator="containsText" text="ALERTA">
      <formula>NOT(ISERROR(SEARCH("ALERTA",U1)))</formula>
    </cfRule>
  </conditionalFormatting>
  <pageMargins left="0.511811023622047" right="0.118110236220472" top="0.74803149606299202" bottom="0.74803149606299202" header="0.31496062992126" footer="0.31496062992126"/>
  <pageSetup scale="70" orientation="landscape" r:id="rId1"/>
  <headerFooter>
    <oddHeader>&amp;L&amp;G&amp;C&amp;"Arial Black,Normal"&amp;14COMPONENTS STATUS - CC-AHT</oddHeader>
    <oddFooter>&amp;LPrinted: &amp;D&amp;CPAG. &amp;P DE &amp;N</oddFooter>
  </headerFooter>
  <rowBreaks count="6" manualBreakCount="6">
    <brk id="37" max="19" man="1"/>
    <brk id="143" max="19" man="1"/>
    <brk id="184" max="19" man="1"/>
    <brk id="207" max="19" man="1"/>
    <brk id="223" max="19" man="1"/>
    <brk id="244" max="19" man="1"/>
  </rowBreaks>
  <colBreaks count="1" manualBreakCount="1">
    <brk id="20" max="213" man="1"/>
  </colBreaks>
  <ignoredErrors>
    <ignoredError sqref="S134" 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showGridLines="0" view="pageBreakPreview" zoomScale="80" zoomScaleNormal="100" zoomScaleSheetLayoutView="80" workbookViewId="0">
      <pane ySplit="8" topLeftCell="A9" activePane="bottomLeft" state="frozen"/>
      <selection pane="bottomLeft" activeCell="F10" sqref="F10"/>
    </sheetView>
  </sheetViews>
  <sheetFormatPr defaultColWidth="11.42578125" defaultRowHeight="13.7" customHeight="1" x14ac:dyDescent="0.2"/>
  <cols>
    <col min="1" max="1" width="18.5703125" style="235" bestFit="1" customWidth="1"/>
    <col min="2" max="2" width="11.28515625" style="1464" bestFit="1" customWidth="1"/>
    <col min="3" max="3" width="36.7109375" style="1465" customWidth="1"/>
    <col min="4" max="4" width="13.7109375" style="1466" bestFit="1" customWidth="1"/>
    <col min="5" max="5" width="6.42578125" style="226" bestFit="1" customWidth="1"/>
    <col min="6" max="6" width="7.5703125" style="1469" bestFit="1" customWidth="1"/>
    <col min="7" max="7" width="9" style="1467" customWidth="1"/>
    <col min="8" max="8" width="10.140625" style="1464" bestFit="1" customWidth="1"/>
    <col min="9" max="9" width="14.85546875" style="1468" customWidth="1"/>
    <col min="10" max="10" width="12.42578125" style="1466" customWidth="1"/>
    <col min="11" max="11" width="12.28515625" style="1466" customWidth="1"/>
    <col min="12" max="12" width="29.42578125" style="1468" customWidth="1"/>
    <col min="13" max="13" width="8" style="227" customWidth="1"/>
    <col min="14" max="16384" width="11.42578125" style="227"/>
  </cols>
  <sheetData>
    <row r="1" spans="1:12" ht="5.25" customHeight="1" x14ac:dyDescent="0.2">
      <c r="A1" s="301"/>
      <c r="B1" s="1363"/>
      <c r="C1" s="301"/>
      <c r="D1" s="301"/>
      <c r="E1" s="301"/>
      <c r="F1" s="1364"/>
      <c r="G1" s="1364"/>
      <c r="H1" s="1363"/>
      <c r="I1" s="301"/>
      <c r="J1" s="301"/>
      <c r="K1" s="301"/>
      <c r="L1" s="301"/>
    </row>
    <row r="2" spans="1:12" ht="13.7" customHeight="1" x14ac:dyDescent="0.2">
      <c r="A2" s="1365" t="s">
        <v>216</v>
      </c>
      <c r="B2" s="1366" t="s">
        <v>1280</v>
      </c>
      <c r="C2" s="1367"/>
      <c r="D2" s="1368"/>
      <c r="E2" s="1368"/>
      <c r="F2" s="1369"/>
      <c r="G2" s="1369"/>
      <c r="H2" s="1370"/>
      <c r="I2" s="1368"/>
      <c r="J2" s="1368"/>
      <c r="K2" s="1371" t="s">
        <v>96</v>
      </c>
      <c r="L2" s="1372">
        <f>Id!B11</f>
        <v>1192.5</v>
      </c>
    </row>
    <row r="3" spans="1:12" ht="13.7" customHeight="1" x14ac:dyDescent="0.2">
      <c r="A3" s="1373" t="s">
        <v>214</v>
      </c>
      <c r="B3" s="1374" t="s">
        <v>1315</v>
      </c>
      <c r="C3" s="1375"/>
      <c r="D3" s="1376"/>
      <c r="E3" s="1376"/>
      <c r="F3" s="1377"/>
      <c r="G3" s="1377"/>
      <c r="H3" s="1378"/>
      <c r="I3" s="1376"/>
      <c r="J3" s="1376"/>
      <c r="K3" s="1379" t="s">
        <v>97</v>
      </c>
      <c r="L3" s="1380">
        <f>Id!E11</f>
        <v>3532</v>
      </c>
    </row>
    <row r="4" spans="1:12" ht="13.7" customHeight="1" x14ac:dyDescent="0.2">
      <c r="A4" s="1381" t="s">
        <v>215</v>
      </c>
      <c r="B4" s="1382" t="s">
        <v>1316</v>
      </c>
      <c r="C4" s="1383"/>
      <c r="D4" s="1384"/>
      <c r="E4" s="1384"/>
      <c r="F4" s="1385"/>
      <c r="G4" s="1385"/>
      <c r="H4" s="1386"/>
      <c r="I4" s="1384"/>
      <c r="J4" s="1384"/>
      <c r="K4" s="1387" t="s">
        <v>213</v>
      </c>
      <c r="L4" s="1388">
        <f>Id!E3</f>
        <v>41449</v>
      </c>
    </row>
    <row r="5" spans="1:12" ht="10.5" customHeight="1" thickBot="1" x14ac:dyDescent="0.25">
      <c r="A5" s="302"/>
      <c r="B5" s="1363"/>
      <c r="C5" s="302"/>
      <c r="D5" s="1389"/>
      <c r="E5" s="302"/>
      <c r="F5" s="1364"/>
      <c r="G5" s="1390"/>
      <c r="H5" s="1363"/>
      <c r="I5" s="1391"/>
      <c r="J5" s="1392"/>
      <c r="K5" s="1393"/>
      <c r="L5" s="1394"/>
    </row>
    <row r="6" spans="1:12" s="1398" customFormat="1" ht="13.7" customHeight="1" x14ac:dyDescent="0.2">
      <c r="A6" s="1712" t="s">
        <v>12</v>
      </c>
      <c r="B6" s="1710" t="s">
        <v>2</v>
      </c>
      <c r="C6" s="1714" t="s">
        <v>1</v>
      </c>
      <c r="D6" s="1716" t="s">
        <v>142</v>
      </c>
      <c r="E6" s="1718" t="s">
        <v>3</v>
      </c>
      <c r="F6" s="1708" t="s">
        <v>141</v>
      </c>
      <c r="G6" s="1705" t="s">
        <v>7</v>
      </c>
      <c r="H6" s="1706"/>
      <c r="I6" s="1707"/>
      <c r="J6" s="1395" t="s">
        <v>8</v>
      </c>
      <c r="K6" s="1396" t="s">
        <v>9</v>
      </c>
      <c r="L6" s="1397" t="s">
        <v>94</v>
      </c>
    </row>
    <row r="7" spans="1:12" s="1398" customFormat="1" ht="13.7" customHeight="1" thickBot="1" x14ac:dyDescent="0.25">
      <c r="A7" s="1713"/>
      <c r="B7" s="1711"/>
      <c r="C7" s="1715"/>
      <c r="D7" s="1717"/>
      <c r="E7" s="1719"/>
      <c r="F7" s="1709"/>
      <c r="G7" s="1399" t="s">
        <v>92</v>
      </c>
      <c r="H7" s="1400" t="s">
        <v>2</v>
      </c>
      <c r="I7" s="1401" t="s">
        <v>140</v>
      </c>
      <c r="J7" s="1402" t="s">
        <v>93</v>
      </c>
      <c r="K7" s="1403" t="s">
        <v>93</v>
      </c>
      <c r="L7" s="1401"/>
    </row>
    <row r="8" spans="1:12" s="1361" customFormat="1" ht="12" customHeight="1" thickBot="1" x14ac:dyDescent="0.25">
      <c r="A8" s="1404"/>
      <c r="B8" s="1405"/>
      <c r="C8" s="1406"/>
      <c r="D8" s="1407"/>
      <c r="E8" s="1406"/>
      <c r="F8" s="1408"/>
      <c r="G8" s="1406"/>
      <c r="H8" s="1405"/>
      <c r="I8" s="1409"/>
      <c r="J8" s="1406"/>
      <c r="K8" s="1406"/>
      <c r="L8" s="1410"/>
    </row>
    <row r="9" spans="1:12" s="1361" customFormat="1" ht="35.1" customHeight="1" x14ac:dyDescent="0.2">
      <c r="A9" s="844" t="s">
        <v>339</v>
      </c>
      <c r="B9" s="1411">
        <v>29880</v>
      </c>
      <c r="C9" s="1412" t="s">
        <v>340</v>
      </c>
      <c r="D9" s="1413"/>
      <c r="E9" s="1414" t="s">
        <v>6</v>
      </c>
      <c r="F9" s="1415"/>
      <c r="G9" s="1416"/>
      <c r="H9" s="1411">
        <v>39289</v>
      </c>
      <c r="I9" s="1417"/>
      <c r="J9" s="1418"/>
      <c r="K9" s="1419"/>
      <c r="L9" s="856" t="s">
        <v>1187</v>
      </c>
    </row>
    <row r="10" spans="1:12" s="1361" customFormat="1" ht="35.1" customHeight="1" x14ac:dyDescent="0.2">
      <c r="A10" s="616" t="s">
        <v>341</v>
      </c>
      <c r="B10" s="825">
        <v>29922</v>
      </c>
      <c r="C10" s="725" t="s">
        <v>342</v>
      </c>
      <c r="D10" s="1166"/>
      <c r="E10" s="1167" t="s">
        <v>6</v>
      </c>
      <c r="F10" s="826"/>
      <c r="G10" s="1420"/>
      <c r="H10" s="1411">
        <v>39289</v>
      </c>
      <c r="I10" s="1421"/>
      <c r="J10" s="828"/>
      <c r="K10" s="304"/>
      <c r="L10" s="829" t="s">
        <v>1188</v>
      </c>
    </row>
    <row r="11" spans="1:12" s="1361" customFormat="1" ht="35.1" customHeight="1" x14ac:dyDescent="0.2">
      <c r="A11" s="616" t="s">
        <v>344</v>
      </c>
      <c r="B11" s="825">
        <v>30315</v>
      </c>
      <c r="C11" s="725" t="s">
        <v>345</v>
      </c>
      <c r="D11" s="1166"/>
      <c r="E11" s="1167" t="s">
        <v>6</v>
      </c>
      <c r="F11" s="826"/>
      <c r="G11" s="1420"/>
      <c r="H11" s="1411">
        <v>39289</v>
      </c>
      <c r="I11" s="1421"/>
      <c r="J11" s="828"/>
      <c r="K11" s="304"/>
      <c r="L11" s="829" t="s">
        <v>1386</v>
      </c>
    </row>
    <row r="12" spans="1:12" s="1361" customFormat="1" ht="40.5" customHeight="1" x14ac:dyDescent="0.2">
      <c r="A12" s="616" t="s">
        <v>346</v>
      </c>
      <c r="B12" s="825">
        <v>30006</v>
      </c>
      <c r="C12" s="725" t="s">
        <v>347</v>
      </c>
      <c r="D12" s="1166"/>
      <c r="E12" s="1167" t="s">
        <v>6</v>
      </c>
      <c r="F12" s="826"/>
      <c r="G12" s="1420"/>
      <c r="H12" s="1411">
        <v>39289</v>
      </c>
      <c r="I12" s="1421"/>
      <c r="J12" s="828"/>
      <c r="K12" s="304"/>
      <c r="L12" s="829" t="s">
        <v>1309</v>
      </c>
    </row>
    <row r="13" spans="1:12" s="1361" customFormat="1" ht="35.1" customHeight="1" x14ac:dyDescent="0.2">
      <c r="A13" s="616" t="s">
        <v>348</v>
      </c>
      <c r="B13" s="825">
        <v>35907</v>
      </c>
      <c r="C13" s="725" t="s">
        <v>349</v>
      </c>
      <c r="D13" s="1166" t="s">
        <v>350</v>
      </c>
      <c r="E13" s="1167" t="s">
        <v>6</v>
      </c>
      <c r="F13" s="826"/>
      <c r="G13" s="1420"/>
      <c r="H13" s="1411">
        <v>39289</v>
      </c>
      <c r="I13" s="1421"/>
      <c r="J13" s="1420"/>
      <c r="K13" s="304"/>
      <c r="L13" s="856" t="s">
        <v>1187</v>
      </c>
    </row>
    <row r="14" spans="1:12" s="1361" customFormat="1" ht="35.1" customHeight="1" x14ac:dyDescent="0.2">
      <c r="A14" s="616" t="s">
        <v>351</v>
      </c>
      <c r="B14" s="825">
        <v>30160</v>
      </c>
      <c r="C14" s="725" t="s">
        <v>352</v>
      </c>
      <c r="D14" s="1166"/>
      <c r="E14" s="1167" t="s">
        <v>6</v>
      </c>
      <c r="F14" s="826"/>
      <c r="G14" s="1422"/>
      <c r="H14" s="1411">
        <v>39289</v>
      </c>
      <c r="I14" s="1423"/>
      <c r="J14" s="1422"/>
      <c r="K14" s="1424"/>
      <c r="L14" s="856" t="s">
        <v>1187</v>
      </c>
    </row>
    <row r="15" spans="1:12" s="1361" customFormat="1" ht="35.1" customHeight="1" x14ac:dyDescent="0.2">
      <c r="A15" s="616" t="s">
        <v>353</v>
      </c>
      <c r="B15" s="825">
        <v>30272</v>
      </c>
      <c r="C15" s="725" t="s">
        <v>354</v>
      </c>
      <c r="D15" s="1166"/>
      <c r="E15" s="1167" t="s">
        <v>6</v>
      </c>
      <c r="F15" s="826"/>
      <c r="G15" s="1422"/>
      <c r="H15" s="1411">
        <v>39289</v>
      </c>
      <c r="I15" s="1423"/>
      <c r="J15" s="1420"/>
      <c r="K15" s="304"/>
      <c r="L15" s="829" t="s">
        <v>1386</v>
      </c>
    </row>
    <row r="16" spans="1:12" s="1361" customFormat="1" ht="35.1" customHeight="1" x14ac:dyDescent="0.2">
      <c r="A16" s="616" t="s">
        <v>355</v>
      </c>
      <c r="B16" s="825">
        <v>30300</v>
      </c>
      <c r="C16" s="725" t="s">
        <v>356</v>
      </c>
      <c r="D16" s="1166"/>
      <c r="E16" s="1167" t="s">
        <v>6</v>
      </c>
      <c r="F16" s="826"/>
      <c r="G16" s="1422"/>
      <c r="H16" s="825">
        <v>39289</v>
      </c>
      <c r="I16" s="1423"/>
      <c r="J16" s="1422"/>
      <c r="K16" s="1424"/>
      <c r="L16" s="856" t="s">
        <v>1187</v>
      </c>
    </row>
    <row r="17" spans="1:12" s="1361" customFormat="1" ht="35.1" customHeight="1" x14ac:dyDescent="0.2">
      <c r="A17" s="616" t="s">
        <v>357</v>
      </c>
      <c r="B17" s="825">
        <v>30440</v>
      </c>
      <c r="C17" s="725" t="s">
        <v>358</v>
      </c>
      <c r="D17" s="1166"/>
      <c r="E17" s="1167" t="s">
        <v>6</v>
      </c>
      <c r="F17" s="826"/>
      <c r="G17" s="1422"/>
      <c r="H17" s="825">
        <v>39289</v>
      </c>
      <c r="I17" s="1423"/>
      <c r="J17" s="1420"/>
      <c r="K17" s="304"/>
      <c r="L17" s="856" t="s">
        <v>1187</v>
      </c>
    </row>
    <row r="18" spans="1:12" s="1361" customFormat="1" ht="35.1" customHeight="1" x14ac:dyDescent="0.2">
      <c r="A18" s="616" t="s">
        <v>359</v>
      </c>
      <c r="B18" s="825">
        <v>30509</v>
      </c>
      <c r="C18" s="725" t="s">
        <v>360</v>
      </c>
      <c r="D18" s="1166"/>
      <c r="E18" s="1167" t="s">
        <v>6</v>
      </c>
      <c r="F18" s="826"/>
      <c r="G18" s="1422"/>
      <c r="H18" s="825">
        <v>39289</v>
      </c>
      <c r="I18" s="1423"/>
      <c r="J18" s="1422"/>
      <c r="K18" s="1424"/>
      <c r="L18" s="856" t="s">
        <v>1187</v>
      </c>
    </row>
    <row r="19" spans="1:12" s="1361" customFormat="1" ht="35.1" customHeight="1" x14ac:dyDescent="0.2">
      <c r="A19" s="616" t="s">
        <v>361</v>
      </c>
      <c r="B19" s="825">
        <v>30601</v>
      </c>
      <c r="C19" s="725" t="s">
        <v>362</v>
      </c>
      <c r="D19" s="1166"/>
      <c r="E19" s="1167" t="s">
        <v>6</v>
      </c>
      <c r="F19" s="826"/>
      <c r="G19" s="1422"/>
      <c r="H19" s="825">
        <v>39269</v>
      </c>
      <c r="I19" s="1423"/>
      <c r="J19" s="1420"/>
      <c r="K19" s="304"/>
      <c r="L19" s="856" t="s">
        <v>1310</v>
      </c>
    </row>
    <row r="20" spans="1:12" s="1361" customFormat="1" ht="35.1" customHeight="1" x14ac:dyDescent="0.2">
      <c r="A20" s="616" t="s">
        <v>363</v>
      </c>
      <c r="B20" s="825">
        <v>30629</v>
      </c>
      <c r="C20" s="725" t="s">
        <v>364</v>
      </c>
      <c r="D20" s="1166"/>
      <c r="E20" s="1167" t="s">
        <v>6</v>
      </c>
      <c r="F20" s="826"/>
      <c r="G20" s="1422"/>
      <c r="H20" s="825">
        <v>39289</v>
      </c>
      <c r="I20" s="1423"/>
      <c r="J20" s="1422"/>
      <c r="K20" s="1424"/>
      <c r="L20" s="829" t="s">
        <v>374</v>
      </c>
    </row>
    <row r="21" spans="1:12" s="1361" customFormat="1" ht="35.1" customHeight="1" x14ac:dyDescent="0.2">
      <c r="A21" s="616" t="s">
        <v>365</v>
      </c>
      <c r="B21" s="825">
        <v>30713</v>
      </c>
      <c r="C21" s="725" t="s">
        <v>366</v>
      </c>
      <c r="D21" s="1166"/>
      <c r="E21" s="1167" t="s">
        <v>6</v>
      </c>
      <c r="F21" s="826"/>
      <c r="G21" s="1422"/>
      <c r="H21" s="825">
        <v>39289</v>
      </c>
      <c r="I21" s="1423"/>
      <c r="J21" s="1420"/>
      <c r="K21" s="304"/>
      <c r="L21" s="856" t="s">
        <v>1187</v>
      </c>
    </row>
    <row r="22" spans="1:12" s="1361" customFormat="1" ht="35.1" customHeight="1" x14ac:dyDescent="0.2">
      <c r="A22" s="616" t="s">
        <v>367</v>
      </c>
      <c r="B22" s="825">
        <v>34367</v>
      </c>
      <c r="C22" s="725" t="s">
        <v>368</v>
      </c>
      <c r="D22" s="1166" t="s">
        <v>369</v>
      </c>
      <c r="E22" s="1167" t="s">
        <v>6</v>
      </c>
      <c r="F22" s="1425"/>
      <c r="G22" s="824"/>
      <c r="H22" s="825">
        <v>39289</v>
      </c>
      <c r="I22" s="1358"/>
      <c r="J22" s="1426"/>
      <c r="K22" s="305"/>
      <c r="L22" s="829" t="s">
        <v>1215</v>
      </c>
    </row>
    <row r="23" spans="1:12" s="1361" customFormat="1" ht="35.1" customHeight="1" x14ac:dyDescent="0.2">
      <c r="A23" s="616" t="s">
        <v>370</v>
      </c>
      <c r="B23" s="825">
        <v>30811</v>
      </c>
      <c r="C23" s="725" t="s">
        <v>371</v>
      </c>
      <c r="D23" s="1166"/>
      <c r="E23" s="1167" t="s">
        <v>6</v>
      </c>
      <c r="F23" s="826"/>
      <c r="G23" s="1422"/>
      <c r="H23" s="825">
        <v>39289</v>
      </c>
      <c r="I23" s="1423"/>
      <c r="J23" s="1422"/>
      <c r="K23" s="1424"/>
      <c r="L23" s="829" t="s">
        <v>1216</v>
      </c>
    </row>
    <row r="24" spans="1:12" s="1361" customFormat="1" ht="35.1" customHeight="1" x14ac:dyDescent="0.2">
      <c r="A24" s="616" t="s">
        <v>372</v>
      </c>
      <c r="B24" s="825">
        <v>31189</v>
      </c>
      <c r="C24" s="725" t="s">
        <v>373</v>
      </c>
      <c r="D24" s="1166"/>
      <c r="E24" s="1167" t="s">
        <v>6</v>
      </c>
      <c r="F24" s="826"/>
      <c r="G24" s="1422"/>
      <c r="H24" s="825">
        <v>39289</v>
      </c>
      <c r="I24" s="1423"/>
      <c r="J24" s="1422"/>
      <c r="K24" s="1424"/>
      <c r="L24" s="829" t="s">
        <v>1215</v>
      </c>
    </row>
    <row r="25" spans="1:12" s="1361" customFormat="1" ht="35.1" customHeight="1" x14ac:dyDescent="0.2">
      <c r="A25" s="616" t="s">
        <v>375</v>
      </c>
      <c r="B25" s="825">
        <v>31217</v>
      </c>
      <c r="C25" s="725" t="s">
        <v>376</v>
      </c>
      <c r="D25" s="1166"/>
      <c r="E25" s="1167" t="s">
        <v>6</v>
      </c>
      <c r="F25" s="826"/>
      <c r="G25" s="1422"/>
      <c r="H25" s="825">
        <v>39289</v>
      </c>
      <c r="I25" s="1423"/>
      <c r="J25" s="1422"/>
      <c r="K25" s="1424"/>
      <c r="L25" s="829" t="s">
        <v>374</v>
      </c>
    </row>
    <row r="26" spans="1:12" s="1361" customFormat="1" ht="35.1" customHeight="1" x14ac:dyDescent="0.2">
      <c r="A26" s="616" t="s">
        <v>377</v>
      </c>
      <c r="B26" s="825">
        <v>31434</v>
      </c>
      <c r="C26" s="725" t="s">
        <v>378</v>
      </c>
      <c r="D26" s="1166"/>
      <c r="E26" s="1167" t="s">
        <v>6</v>
      </c>
      <c r="F26" s="826"/>
      <c r="G26" s="1422"/>
      <c r="H26" s="825">
        <v>39289</v>
      </c>
      <c r="I26" s="1423"/>
      <c r="J26" s="1422"/>
      <c r="K26" s="1424"/>
      <c r="L26" s="856" t="s">
        <v>1187</v>
      </c>
    </row>
    <row r="27" spans="1:12" s="1361" customFormat="1" ht="35.1" customHeight="1" x14ac:dyDescent="0.2">
      <c r="A27" s="616" t="s">
        <v>379</v>
      </c>
      <c r="B27" s="825">
        <v>31462</v>
      </c>
      <c r="C27" s="725" t="s">
        <v>380</v>
      </c>
      <c r="D27" s="1166"/>
      <c r="E27" s="1167" t="s">
        <v>6</v>
      </c>
      <c r="F27" s="826"/>
      <c r="G27" s="1422"/>
      <c r="H27" s="825">
        <v>39289</v>
      </c>
      <c r="I27" s="1423"/>
      <c r="J27" s="1422"/>
      <c r="K27" s="1424"/>
      <c r="L27" s="856" t="s">
        <v>1187</v>
      </c>
    </row>
    <row r="28" spans="1:12" s="1361" customFormat="1" ht="35.1" customHeight="1" x14ac:dyDescent="0.2">
      <c r="A28" s="616" t="s">
        <v>382</v>
      </c>
      <c r="B28" s="825">
        <v>31557</v>
      </c>
      <c r="C28" s="725" t="s">
        <v>383</v>
      </c>
      <c r="D28" s="1166"/>
      <c r="E28" s="1167" t="s">
        <v>6</v>
      </c>
      <c r="F28" s="826"/>
      <c r="G28" s="1422"/>
      <c r="H28" s="825">
        <v>39289</v>
      </c>
      <c r="I28" s="1423"/>
      <c r="J28" s="1422"/>
      <c r="K28" s="1424"/>
      <c r="L28" s="856" t="s">
        <v>1187</v>
      </c>
    </row>
    <row r="29" spans="1:12" s="1361" customFormat="1" ht="35.1" customHeight="1" x14ac:dyDescent="0.2">
      <c r="A29" s="616" t="s">
        <v>384</v>
      </c>
      <c r="B29" s="825">
        <v>31686</v>
      </c>
      <c r="C29" s="725" t="s">
        <v>385</v>
      </c>
      <c r="D29" s="1166"/>
      <c r="E29" s="1167" t="s">
        <v>6</v>
      </c>
      <c r="F29" s="826"/>
      <c r="G29" s="1422"/>
      <c r="H29" s="825">
        <v>39289</v>
      </c>
      <c r="I29" s="1423"/>
      <c r="J29" s="1422"/>
      <c r="K29" s="1424"/>
      <c r="L29" s="856" t="s">
        <v>1187</v>
      </c>
    </row>
    <row r="30" spans="1:12" s="1398" customFormat="1" ht="35.1" customHeight="1" x14ac:dyDescent="0.2">
      <c r="A30" s="616" t="s">
        <v>386</v>
      </c>
      <c r="B30" s="825">
        <v>31672</v>
      </c>
      <c r="C30" s="725" t="s">
        <v>387</v>
      </c>
      <c r="D30" s="1166"/>
      <c r="E30" s="1167" t="s">
        <v>6</v>
      </c>
      <c r="F30" s="826"/>
      <c r="G30" s="1422"/>
      <c r="H30" s="825">
        <v>39289</v>
      </c>
      <c r="I30" s="1423"/>
      <c r="J30" s="1422"/>
      <c r="K30" s="1424"/>
      <c r="L30" s="856" t="s">
        <v>1187</v>
      </c>
    </row>
    <row r="31" spans="1:12" s="1398" customFormat="1" ht="35.1" customHeight="1" x14ac:dyDescent="0.2">
      <c r="A31" s="616" t="s">
        <v>388</v>
      </c>
      <c r="B31" s="825">
        <v>32162</v>
      </c>
      <c r="C31" s="725" t="s">
        <v>389</v>
      </c>
      <c r="D31" s="1166"/>
      <c r="E31" s="1167" t="s">
        <v>6</v>
      </c>
      <c r="F31" s="826"/>
      <c r="G31" s="1422"/>
      <c r="H31" s="825">
        <v>39289</v>
      </c>
      <c r="I31" s="1423"/>
      <c r="J31" s="1422"/>
      <c r="K31" s="1424"/>
      <c r="L31" s="856" t="s">
        <v>1187</v>
      </c>
    </row>
    <row r="32" spans="1:12" s="1398" customFormat="1" ht="35.1" customHeight="1" x14ac:dyDescent="0.2">
      <c r="A32" s="616" t="s">
        <v>390</v>
      </c>
      <c r="B32" s="825">
        <v>31854</v>
      </c>
      <c r="C32" s="725" t="s">
        <v>391</v>
      </c>
      <c r="D32" s="1166"/>
      <c r="E32" s="1167" t="s">
        <v>6</v>
      </c>
      <c r="F32" s="826"/>
      <c r="G32" s="1422"/>
      <c r="H32" s="825">
        <v>39289</v>
      </c>
      <c r="I32" s="1423"/>
      <c r="J32" s="1422"/>
      <c r="K32" s="1424"/>
      <c r="L32" s="856" t="s">
        <v>1187</v>
      </c>
    </row>
    <row r="33" spans="1:12" s="1398" customFormat="1" ht="35.1" customHeight="1" x14ac:dyDescent="0.2">
      <c r="A33" s="616" t="s">
        <v>392</v>
      </c>
      <c r="B33" s="825">
        <v>31952</v>
      </c>
      <c r="C33" s="725" t="s">
        <v>393</v>
      </c>
      <c r="D33" s="1166"/>
      <c r="E33" s="1167" t="s">
        <v>6</v>
      </c>
      <c r="F33" s="826"/>
      <c r="G33" s="1422"/>
      <c r="H33" s="825">
        <v>39289</v>
      </c>
      <c r="I33" s="1423"/>
      <c r="J33" s="828"/>
      <c r="K33" s="304"/>
      <c r="L33" s="856" t="s">
        <v>1187</v>
      </c>
    </row>
    <row r="34" spans="1:12" s="1398" customFormat="1" ht="35.1" customHeight="1" x14ac:dyDescent="0.2">
      <c r="A34" s="616" t="s">
        <v>394</v>
      </c>
      <c r="B34" s="825">
        <v>32008</v>
      </c>
      <c r="C34" s="725" t="s">
        <v>395</v>
      </c>
      <c r="D34" s="1166"/>
      <c r="E34" s="1167" t="s">
        <v>6</v>
      </c>
      <c r="F34" s="826"/>
      <c r="G34" s="1422"/>
      <c r="H34" s="825">
        <v>39289</v>
      </c>
      <c r="I34" s="1423"/>
      <c r="J34" s="1422"/>
      <c r="K34" s="1424"/>
      <c r="L34" s="856" t="s">
        <v>1187</v>
      </c>
    </row>
    <row r="35" spans="1:12" s="1398" customFormat="1" ht="35.1" customHeight="1" x14ac:dyDescent="0.2">
      <c r="A35" s="616" t="s">
        <v>396</v>
      </c>
      <c r="B35" s="825">
        <v>32106</v>
      </c>
      <c r="C35" s="725" t="s">
        <v>397</v>
      </c>
      <c r="D35" s="1166"/>
      <c r="E35" s="1167" t="s">
        <v>6</v>
      </c>
      <c r="F35" s="826"/>
      <c r="G35" s="1422"/>
      <c r="H35" s="825">
        <v>39289</v>
      </c>
      <c r="I35" s="1423"/>
      <c r="J35" s="828"/>
      <c r="K35" s="304"/>
      <c r="L35" s="856" t="s">
        <v>1187</v>
      </c>
    </row>
    <row r="36" spans="1:12" s="1398" customFormat="1" ht="35.1" customHeight="1" x14ac:dyDescent="0.2">
      <c r="A36" s="616" t="s">
        <v>398</v>
      </c>
      <c r="B36" s="825">
        <v>32547</v>
      </c>
      <c r="C36" s="725" t="s">
        <v>399</v>
      </c>
      <c r="D36" s="1166"/>
      <c r="E36" s="1167" t="s">
        <v>6</v>
      </c>
      <c r="F36" s="826"/>
      <c r="G36" s="1422"/>
      <c r="H36" s="825">
        <v>39289</v>
      </c>
      <c r="I36" s="1423"/>
      <c r="J36" s="828"/>
      <c r="K36" s="304"/>
      <c r="L36" s="829" t="s">
        <v>374</v>
      </c>
    </row>
    <row r="37" spans="1:12" s="1398" customFormat="1" ht="35.1" customHeight="1" x14ac:dyDescent="0.2">
      <c r="A37" s="616" t="s">
        <v>400</v>
      </c>
      <c r="B37" s="825">
        <v>34171</v>
      </c>
      <c r="C37" s="725" t="s">
        <v>401</v>
      </c>
      <c r="D37" s="1166"/>
      <c r="E37" s="1167" t="s">
        <v>6</v>
      </c>
      <c r="F37" s="826"/>
      <c r="G37" s="1422"/>
      <c r="H37" s="825">
        <v>39289</v>
      </c>
      <c r="I37" s="1423"/>
      <c r="J37" s="1422"/>
      <c r="K37" s="1424"/>
      <c r="L37" s="856" t="s">
        <v>1187</v>
      </c>
    </row>
    <row r="38" spans="1:12" s="1398" customFormat="1" ht="35.1" customHeight="1" x14ac:dyDescent="0.2">
      <c r="A38" s="616" t="s">
        <v>402</v>
      </c>
      <c r="B38" s="825">
        <v>32645</v>
      </c>
      <c r="C38" s="725" t="s">
        <v>403</v>
      </c>
      <c r="D38" s="1166"/>
      <c r="E38" s="1167" t="s">
        <v>6</v>
      </c>
      <c r="F38" s="826"/>
      <c r="G38" s="1422"/>
      <c r="H38" s="825">
        <v>39289</v>
      </c>
      <c r="I38" s="1423"/>
      <c r="J38" s="1422"/>
      <c r="K38" s="1424"/>
      <c r="L38" s="856" t="s">
        <v>1187</v>
      </c>
    </row>
    <row r="39" spans="1:12" s="1398" customFormat="1" ht="35.1" customHeight="1" x14ac:dyDescent="0.2">
      <c r="A39" s="616" t="s">
        <v>404</v>
      </c>
      <c r="B39" s="825">
        <v>33513</v>
      </c>
      <c r="C39" s="725" t="s">
        <v>405</v>
      </c>
      <c r="D39" s="1166"/>
      <c r="E39" s="1167" t="s">
        <v>6</v>
      </c>
      <c r="F39" s="826"/>
      <c r="G39" s="1422"/>
      <c r="H39" s="825">
        <v>39289</v>
      </c>
      <c r="I39" s="1423"/>
      <c r="J39" s="828"/>
      <c r="K39" s="304"/>
      <c r="L39" s="856" t="s">
        <v>1187</v>
      </c>
    </row>
    <row r="40" spans="1:12" s="1398" customFormat="1" ht="35.1" customHeight="1" x14ac:dyDescent="0.2">
      <c r="A40" s="616" t="s">
        <v>406</v>
      </c>
      <c r="B40" s="825">
        <v>32953</v>
      </c>
      <c r="C40" s="725" t="s">
        <v>407</v>
      </c>
      <c r="D40" s="1166"/>
      <c r="E40" s="1167" t="s">
        <v>6</v>
      </c>
      <c r="F40" s="826"/>
      <c r="G40" s="1422"/>
      <c r="H40" s="825">
        <v>39289</v>
      </c>
      <c r="I40" s="1423"/>
      <c r="J40" s="1422"/>
      <c r="K40" s="1424"/>
      <c r="L40" s="856" t="s">
        <v>1187</v>
      </c>
    </row>
    <row r="41" spans="1:12" s="1398" customFormat="1" ht="35.1" customHeight="1" x14ac:dyDescent="0.2">
      <c r="A41" s="616" t="s">
        <v>408</v>
      </c>
      <c r="B41" s="825">
        <v>33569</v>
      </c>
      <c r="C41" s="725" t="s">
        <v>409</v>
      </c>
      <c r="D41" s="1166"/>
      <c r="E41" s="1167" t="s">
        <v>6</v>
      </c>
      <c r="F41" s="826"/>
      <c r="G41" s="1422"/>
      <c r="H41" s="825">
        <v>39289</v>
      </c>
      <c r="I41" s="1423"/>
      <c r="J41" s="828"/>
      <c r="K41" s="304"/>
      <c r="L41" s="829" t="s">
        <v>1217</v>
      </c>
    </row>
    <row r="42" spans="1:12" s="1398" customFormat="1" ht="35.1" customHeight="1" x14ac:dyDescent="0.2">
      <c r="A42" s="616" t="s">
        <v>410</v>
      </c>
      <c r="B42" s="825">
        <v>33420</v>
      </c>
      <c r="C42" s="725" t="s">
        <v>411</v>
      </c>
      <c r="D42" s="1166"/>
      <c r="E42" s="1167" t="s">
        <v>6</v>
      </c>
      <c r="F42" s="826"/>
      <c r="G42" s="1422"/>
      <c r="H42" s="825">
        <v>39289</v>
      </c>
      <c r="I42" s="1423"/>
      <c r="J42" s="828"/>
      <c r="K42" s="304"/>
      <c r="L42" s="856" t="s">
        <v>1187</v>
      </c>
    </row>
    <row r="43" spans="1:12" s="1398" customFormat="1" ht="35.1" customHeight="1" x14ac:dyDescent="0.2">
      <c r="A43" s="616" t="s">
        <v>412</v>
      </c>
      <c r="B43" s="825">
        <v>33450</v>
      </c>
      <c r="C43" s="725" t="s">
        <v>413</v>
      </c>
      <c r="D43" s="1166"/>
      <c r="E43" s="1167" t="s">
        <v>6</v>
      </c>
      <c r="F43" s="826"/>
      <c r="G43" s="1422"/>
      <c r="H43" s="825">
        <v>39289</v>
      </c>
      <c r="I43" s="1423"/>
      <c r="J43" s="828"/>
      <c r="K43" s="304"/>
      <c r="L43" s="829" t="s">
        <v>1218</v>
      </c>
    </row>
    <row r="44" spans="1:12" s="1398" customFormat="1" ht="35.1" customHeight="1" x14ac:dyDescent="0.2">
      <c r="A44" s="616" t="s">
        <v>414</v>
      </c>
      <c r="B44" s="825">
        <v>33450</v>
      </c>
      <c r="C44" s="725" t="s">
        <v>618</v>
      </c>
      <c r="D44" s="1166"/>
      <c r="E44" s="1167" t="s">
        <v>6</v>
      </c>
      <c r="F44" s="826"/>
      <c r="G44" s="1422"/>
      <c r="H44" s="825">
        <v>39289</v>
      </c>
      <c r="I44" s="1423"/>
      <c r="J44" s="828"/>
      <c r="K44" s="304"/>
      <c r="L44" s="829" t="s">
        <v>1219</v>
      </c>
    </row>
    <row r="45" spans="1:12" s="1398" customFormat="1" ht="35.1" customHeight="1" x14ac:dyDescent="0.2">
      <c r="A45" s="616" t="s">
        <v>415</v>
      </c>
      <c r="B45" s="825">
        <v>33793</v>
      </c>
      <c r="C45" s="725" t="s">
        <v>416</v>
      </c>
      <c r="D45" s="1166"/>
      <c r="E45" s="1167" t="s">
        <v>6</v>
      </c>
      <c r="F45" s="826"/>
      <c r="G45" s="1422"/>
      <c r="H45" s="825">
        <v>39289</v>
      </c>
      <c r="I45" s="1423"/>
      <c r="J45" s="1422"/>
      <c r="K45" s="1424"/>
      <c r="L45" s="856" t="s">
        <v>1187</v>
      </c>
    </row>
    <row r="46" spans="1:12" s="1398" customFormat="1" ht="35.1" customHeight="1" x14ac:dyDescent="0.2">
      <c r="A46" s="616" t="s">
        <v>417</v>
      </c>
      <c r="B46" s="825">
        <v>34059</v>
      </c>
      <c r="C46" s="725" t="s">
        <v>418</v>
      </c>
      <c r="D46" s="1166"/>
      <c r="E46" s="1167" t="s">
        <v>6</v>
      </c>
      <c r="F46" s="826"/>
      <c r="G46" s="1422"/>
      <c r="H46" s="825">
        <v>39289</v>
      </c>
      <c r="I46" s="1423"/>
      <c r="J46" s="828"/>
      <c r="K46" s="304"/>
      <c r="L46" s="856" t="s">
        <v>1187</v>
      </c>
    </row>
    <row r="47" spans="1:12" s="1398" customFormat="1" ht="35.1" customHeight="1" x14ac:dyDescent="0.2">
      <c r="A47" s="616" t="s">
        <v>419</v>
      </c>
      <c r="B47" s="825">
        <v>34031</v>
      </c>
      <c r="C47" s="725" t="s">
        <v>420</v>
      </c>
      <c r="D47" s="1166"/>
      <c r="E47" s="1167" t="s">
        <v>6</v>
      </c>
      <c r="F47" s="826"/>
      <c r="G47" s="1422"/>
      <c r="H47" s="825">
        <v>39289</v>
      </c>
      <c r="I47" s="1423"/>
      <c r="J47" s="828"/>
      <c r="K47" s="304"/>
      <c r="L47" s="856" t="s">
        <v>1187</v>
      </c>
    </row>
    <row r="48" spans="1:12" s="1398" customFormat="1" ht="35.1" customHeight="1" x14ac:dyDescent="0.2">
      <c r="A48" s="616" t="s">
        <v>421</v>
      </c>
      <c r="B48" s="825">
        <v>34325</v>
      </c>
      <c r="C48" s="725" t="s">
        <v>422</v>
      </c>
      <c r="D48" s="1166"/>
      <c r="E48" s="1167" t="s">
        <v>6</v>
      </c>
      <c r="F48" s="826"/>
      <c r="G48" s="1422"/>
      <c r="H48" s="825">
        <v>39289</v>
      </c>
      <c r="I48" s="1423"/>
      <c r="J48" s="828"/>
      <c r="K48" s="304"/>
      <c r="L48" s="856" t="s">
        <v>1187</v>
      </c>
    </row>
    <row r="49" spans="1:12" s="1398" customFormat="1" ht="35.1" customHeight="1" x14ac:dyDescent="0.2">
      <c r="A49" s="616" t="s">
        <v>423</v>
      </c>
      <c r="B49" s="825">
        <v>34199</v>
      </c>
      <c r="C49" s="725" t="s">
        <v>424</v>
      </c>
      <c r="D49" s="1166"/>
      <c r="E49" s="1167" t="s">
        <v>6</v>
      </c>
      <c r="F49" s="826"/>
      <c r="G49" s="1422"/>
      <c r="H49" s="825">
        <v>39289</v>
      </c>
      <c r="I49" s="1423"/>
      <c r="J49" s="828"/>
      <c r="K49" s="304"/>
      <c r="L49" s="856" t="s">
        <v>1187</v>
      </c>
    </row>
    <row r="50" spans="1:12" s="1398" customFormat="1" ht="35.1" customHeight="1" x14ac:dyDescent="0.2">
      <c r="A50" s="616" t="s">
        <v>425</v>
      </c>
      <c r="B50" s="825">
        <v>34437</v>
      </c>
      <c r="C50" s="725" t="s">
        <v>426</v>
      </c>
      <c r="D50" s="1166"/>
      <c r="E50" s="1167" t="s">
        <v>6</v>
      </c>
      <c r="F50" s="826"/>
      <c r="G50" s="1422"/>
      <c r="H50" s="825">
        <v>39289</v>
      </c>
      <c r="I50" s="1423"/>
      <c r="J50" s="828"/>
      <c r="K50" s="304"/>
      <c r="L50" s="856" t="s">
        <v>1187</v>
      </c>
    </row>
    <row r="51" spans="1:12" s="1398" customFormat="1" ht="35.1" customHeight="1" x14ac:dyDescent="0.2">
      <c r="A51" s="616" t="s">
        <v>427</v>
      </c>
      <c r="B51" s="825">
        <v>34549</v>
      </c>
      <c r="C51" s="725" t="s">
        <v>428</v>
      </c>
      <c r="D51" s="1166"/>
      <c r="E51" s="1167" t="s">
        <v>6</v>
      </c>
      <c r="F51" s="826"/>
      <c r="G51" s="1422"/>
      <c r="H51" s="825">
        <v>39289</v>
      </c>
      <c r="I51" s="1423"/>
      <c r="J51" s="828"/>
      <c r="K51" s="304"/>
      <c r="L51" s="856" t="s">
        <v>1187</v>
      </c>
    </row>
    <row r="52" spans="1:12" s="1398" customFormat="1" ht="35.1" customHeight="1" x14ac:dyDescent="0.2">
      <c r="A52" s="616" t="s">
        <v>429</v>
      </c>
      <c r="B52" s="825">
        <v>34717</v>
      </c>
      <c r="C52" s="725" t="s">
        <v>430</v>
      </c>
      <c r="D52" s="1166"/>
      <c r="E52" s="1167" t="s">
        <v>6</v>
      </c>
      <c r="F52" s="826"/>
      <c r="G52" s="1422"/>
      <c r="H52" s="825">
        <v>39289</v>
      </c>
      <c r="I52" s="1423"/>
      <c r="J52" s="828"/>
      <c r="K52" s="304"/>
      <c r="L52" s="856" t="s">
        <v>1187</v>
      </c>
    </row>
    <row r="53" spans="1:12" s="1398" customFormat="1" ht="35.1" customHeight="1" x14ac:dyDescent="0.2">
      <c r="A53" s="616" t="s">
        <v>431</v>
      </c>
      <c r="B53" s="825">
        <v>35585</v>
      </c>
      <c r="C53" s="725" t="s">
        <v>432</v>
      </c>
      <c r="D53" s="1166"/>
      <c r="E53" s="1167" t="s">
        <v>6</v>
      </c>
      <c r="F53" s="826"/>
      <c r="G53" s="1422"/>
      <c r="H53" s="825">
        <v>39289</v>
      </c>
      <c r="I53" s="1423"/>
      <c r="J53" s="828"/>
      <c r="K53" s="304"/>
      <c r="L53" s="856" t="s">
        <v>1187</v>
      </c>
    </row>
    <row r="54" spans="1:12" s="1398" customFormat="1" ht="35.1" customHeight="1" x14ac:dyDescent="0.2">
      <c r="A54" s="616" t="s">
        <v>433</v>
      </c>
      <c r="B54" s="825">
        <v>37279</v>
      </c>
      <c r="C54" s="725" t="s">
        <v>434</v>
      </c>
      <c r="D54" s="1166" t="s">
        <v>435</v>
      </c>
      <c r="E54" s="1167" t="s">
        <v>6</v>
      </c>
      <c r="F54" s="826"/>
      <c r="G54" s="1422"/>
      <c r="H54" s="825">
        <v>39289</v>
      </c>
      <c r="I54" s="1423"/>
      <c r="J54" s="828"/>
      <c r="K54" s="304"/>
      <c r="L54" s="856" t="s">
        <v>1187</v>
      </c>
    </row>
    <row r="55" spans="1:12" s="1398" customFormat="1" ht="35.1" customHeight="1" x14ac:dyDescent="0.2">
      <c r="A55" s="616" t="s">
        <v>436</v>
      </c>
      <c r="B55" s="825">
        <v>36145</v>
      </c>
      <c r="C55" s="725" t="s">
        <v>437</v>
      </c>
      <c r="D55" s="1166"/>
      <c r="E55" s="1167" t="s">
        <v>6</v>
      </c>
      <c r="F55" s="826"/>
      <c r="G55" s="1422"/>
      <c r="H55" s="825">
        <v>39289</v>
      </c>
      <c r="I55" s="1423"/>
      <c r="J55" s="828"/>
      <c r="K55" s="304"/>
      <c r="L55" s="856" t="s">
        <v>1187</v>
      </c>
    </row>
    <row r="56" spans="1:12" s="1398" customFormat="1" ht="35.1" customHeight="1" x14ac:dyDescent="0.2">
      <c r="A56" s="616" t="s">
        <v>438</v>
      </c>
      <c r="B56" s="825">
        <v>36215</v>
      </c>
      <c r="C56" s="725" t="s">
        <v>439</v>
      </c>
      <c r="D56" s="1166"/>
      <c r="E56" s="1167" t="s">
        <v>6</v>
      </c>
      <c r="F56" s="826"/>
      <c r="G56" s="1422"/>
      <c r="H56" s="825">
        <v>39289</v>
      </c>
      <c r="I56" s="1423"/>
      <c r="J56" s="828"/>
      <c r="K56" s="304"/>
      <c r="L56" s="856" t="s">
        <v>1187</v>
      </c>
    </row>
    <row r="57" spans="1:12" s="1398" customFormat="1" ht="35.1" customHeight="1" x14ac:dyDescent="0.2">
      <c r="A57" s="616" t="s">
        <v>440</v>
      </c>
      <c r="B57" s="825">
        <v>37307</v>
      </c>
      <c r="C57" s="725" t="s">
        <v>441</v>
      </c>
      <c r="D57" s="1166"/>
      <c r="E57" s="1167" t="s">
        <v>6</v>
      </c>
      <c r="F57" s="826"/>
      <c r="G57" s="1422"/>
      <c r="H57" s="825">
        <v>39289</v>
      </c>
      <c r="I57" s="1423"/>
      <c r="J57" s="828"/>
      <c r="K57" s="304"/>
      <c r="L57" s="856" t="s">
        <v>1187</v>
      </c>
    </row>
    <row r="58" spans="1:12" s="1398" customFormat="1" ht="35.1" customHeight="1" x14ac:dyDescent="0.2">
      <c r="A58" s="616" t="s">
        <v>442</v>
      </c>
      <c r="B58" s="825">
        <v>37265</v>
      </c>
      <c r="C58" s="725" t="s">
        <v>443</v>
      </c>
      <c r="D58" s="1166"/>
      <c r="E58" s="1167" t="s">
        <v>6</v>
      </c>
      <c r="F58" s="1427"/>
      <c r="G58" s="1428"/>
      <c r="H58" s="825">
        <v>39289</v>
      </c>
      <c r="I58" s="1358"/>
      <c r="J58" s="1429"/>
      <c r="K58" s="1430"/>
      <c r="L58" s="1431" t="s">
        <v>1220</v>
      </c>
    </row>
    <row r="59" spans="1:12" s="1398" customFormat="1" ht="35.1" customHeight="1" x14ac:dyDescent="0.2">
      <c r="A59" s="616" t="s">
        <v>444</v>
      </c>
      <c r="B59" s="825">
        <v>38245</v>
      </c>
      <c r="C59" s="725" t="s">
        <v>445</v>
      </c>
      <c r="D59" s="1166"/>
      <c r="E59" s="1167" t="s">
        <v>6</v>
      </c>
      <c r="F59" s="826"/>
      <c r="G59" s="1420"/>
      <c r="H59" s="825">
        <v>39289</v>
      </c>
      <c r="I59" s="1423"/>
      <c r="J59" s="828"/>
      <c r="K59" s="304"/>
      <c r="L59" s="856" t="s">
        <v>1187</v>
      </c>
    </row>
    <row r="60" spans="1:12" s="1398" customFormat="1" ht="35.1" customHeight="1" x14ac:dyDescent="0.2">
      <c r="A60" s="616" t="s">
        <v>31</v>
      </c>
      <c r="B60" s="825">
        <v>36719</v>
      </c>
      <c r="C60" s="725" t="s">
        <v>38</v>
      </c>
      <c r="D60" s="1166"/>
      <c r="E60" s="1167" t="s">
        <v>6</v>
      </c>
      <c r="F60" s="826"/>
      <c r="G60" s="1420"/>
      <c r="H60" s="825">
        <v>39289</v>
      </c>
      <c r="I60" s="1423"/>
      <c r="J60" s="828"/>
      <c r="K60" s="304"/>
      <c r="L60" s="829" t="s">
        <v>1221</v>
      </c>
    </row>
    <row r="61" spans="1:12" s="1398" customFormat="1" ht="35.1" customHeight="1" x14ac:dyDescent="0.2">
      <c r="A61" s="616" t="s">
        <v>446</v>
      </c>
      <c r="B61" s="825">
        <v>36775</v>
      </c>
      <c r="C61" s="725" t="s">
        <v>447</v>
      </c>
      <c r="D61" s="1166"/>
      <c r="E61" s="1167" t="s">
        <v>6</v>
      </c>
      <c r="F61" s="826"/>
      <c r="G61" s="827"/>
      <c r="H61" s="825">
        <v>39289</v>
      </c>
      <c r="I61" s="1358"/>
      <c r="J61" s="828"/>
      <c r="K61" s="304"/>
      <c r="L61" s="856" t="s">
        <v>1187</v>
      </c>
    </row>
    <row r="62" spans="1:12" s="1398" customFormat="1" ht="35.1" customHeight="1" x14ac:dyDescent="0.2">
      <c r="A62" s="616" t="s">
        <v>448</v>
      </c>
      <c r="B62" s="825">
        <v>36957</v>
      </c>
      <c r="C62" s="725" t="s">
        <v>449</v>
      </c>
      <c r="D62" s="1166"/>
      <c r="E62" s="1167" t="s">
        <v>6</v>
      </c>
      <c r="F62" s="826"/>
      <c r="G62" s="827"/>
      <c r="H62" s="825">
        <v>39289</v>
      </c>
      <c r="I62" s="1358"/>
      <c r="J62" s="828"/>
      <c r="K62" s="304"/>
      <c r="L62" s="856" t="s">
        <v>1187</v>
      </c>
    </row>
    <row r="63" spans="1:12" s="1398" customFormat="1" ht="35.1" customHeight="1" x14ac:dyDescent="0.2">
      <c r="A63" s="616" t="s">
        <v>450</v>
      </c>
      <c r="B63" s="825">
        <v>39519</v>
      </c>
      <c r="C63" s="725" t="s">
        <v>451</v>
      </c>
      <c r="D63" s="1166"/>
      <c r="E63" s="1167" t="s">
        <v>6</v>
      </c>
      <c r="F63" s="826"/>
      <c r="G63" s="827"/>
      <c r="H63" s="825">
        <v>39505</v>
      </c>
      <c r="I63" s="1358"/>
      <c r="J63" s="828"/>
      <c r="K63" s="304"/>
      <c r="L63" s="829" t="s">
        <v>640</v>
      </c>
    </row>
    <row r="64" spans="1:12" s="1398" customFormat="1" ht="35.1" customHeight="1" x14ac:dyDescent="0.2">
      <c r="A64" s="616" t="s">
        <v>452</v>
      </c>
      <c r="B64" s="825">
        <v>37097</v>
      </c>
      <c r="C64" s="725" t="s">
        <v>453</v>
      </c>
      <c r="D64" s="1166"/>
      <c r="E64" s="1167" t="s">
        <v>6</v>
      </c>
      <c r="F64" s="826"/>
      <c r="G64" s="827"/>
      <c r="H64" s="825">
        <v>39988</v>
      </c>
      <c r="I64" s="1358"/>
      <c r="J64" s="828"/>
      <c r="K64" s="304"/>
      <c r="L64" s="829" t="s">
        <v>641</v>
      </c>
    </row>
    <row r="65" spans="1:12" s="1398" customFormat="1" ht="35.1" customHeight="1" x14ac:dyDescent="0.2">
      <c r="A65" s="616" t="s">
        <v>454</v>
      </c>
      <c r="B65" s="825">
        <v>37391</v>
      </c>
      <c r="C65" s="725" t="s">
        <v>455</v>
      </c>
      <c r="D65" s="1166"/>
      <c r="E65" s="1167" t="s">
        <v>6</v>
      </c>
      <c r="F65" s="826"/>
      <c r="G65" s="827"/>
      <c r="H65" s="825">
        <v>39289</v>
      </c>
      <c r="I65" s="1358"/>
      <c r="J65" s="828"/>
      <c r="K65" s="304"/>
      <c r="L65" s="856" t="s">
        <v>1187</v>
      </c>
    </row>
    <row r="66" spans="1:12" s="1398" customFormat="1" ht="35.1" customHeight="1" x14ac:dyDescent="0.2">
      <c r="A66" s="616" t="s">
        <v>456</v>
      </c>
      <c r="B66" s="825">
        <v>37419</v>
      </c>
      <c r="C66" s="725" t="s">
        <v>457</v>
      </c>
      <c r="D66" s="1166"/>
      <c r="E66" s="1167" t="s">
        <v>6</v>
      </c>
      <c r="F66" s="826"/>
      <c r="G66" s="1420"/>
      <c r="H66" s="825">
        <v>39289</v>
      </c>
      <c r="I66" s="1423"/>
      <c r="J66" s="828"/>
      <c r="K66" s="304"/>
      <c r="L66" s="856" t="s">
        <v>1187</v>
      </c>
    </row>
    <row r="67" spans="1:12" s="1398" customFormat="1" ht="35.1" customHeight="1" x14ac:dyDescent="0.2">
      <c r="A67" s="616" t="s">
        <v>458</v>
      </c>
      <c r="B67" s="825">
        <v>37685</v>
      </c>
      <c r="C67" s="725" t="s">
        <v>459</v>
      </c>
      <c r="D67" s="1166"/>
      <c r="E67" s="1167" t="s">
        <v>6</v>
      </c>
      <c r="F67" s="826"/>
      <c r="G67" s="827"/>
      <c r="H67" s="825">
        <v>39289</v>
      </c>
      <c r="I67" s="1358"/>
      <c r="J67" s="828"/>
      <c r="K67" s="304"/>
      <c r="L67" s="829" t="s">
        <v>253</v>
      </c>
    </row>
    <row r="68" spans="1:12" s="1398" customFormat="1" ht="35.1" customHeight="1" x14ac:dyDescent="0.2">
      <c r="A68" s="616" t="s">
        <v>460</v>
      </c>
      <c r="B68" s="825">
        <v>37265</v>
      </c>
      <c r="C68" s="725" t="s">
        <v>461</v>
      </c>
      <c r="D68" s="1166"/>
      <c r="E68" s="1167" t="s">
        <v>6</v>
      </c>
      <c r="F68" s="826"/>
      <c r="G68" s="827"/>
      <c r="H68" s="825">
        <v>39289</v>
      </c>
      <c r="I68" s="1358"/>
      <c r="J68" s="828"/>
      <c r="K68" s="304"/>
      <c r="L68" s="829" t="s">
        <v>642</v>
      </c>
    </row>
    <row r="69" spans="1:12" s="1398" customFormat="1" ht="35.1" customHeight="1" x14ac:dyDescent="0.2">
      <c r="A69" s="616" t="s">
        <v>462</v>
      </c>
      <c r="B69" s="825">
        <v>38609</v>
      </c>
      <c r="C69" s="725" t="s">
        <v>463</v>
      </c>
      <c r="D69" s="1166"/>
      <c r="E69" s="1167" t="s">
        <v>6</v>
      </c>
      <c r="F69" s="826"/>
      <c r="G69" s="827"/>
      <c r="H69" s="825">
        <v>39289</v>
      </c>
      <c r="I69" s="1358"/>
      <c r="J69" s="828"/>
      <c r="K69" s="304"/>
      <c r="L69" s="829" t="s">
        <v>1222</v>
      </c>
    </row>
    <row r="70" spans="1:12" s="1398" customFormat="1" ht="35.1" customHeight="1" x14ac:dyDescent="0.2">
      <c r="A70" s="616" t="s">
        <v>464</v>
      </c>
      <c r="B70" s="825">
        <v>38063</v>
      </c>
      <c r="C70" s="725" t="s">
        <v>465</v>
      </c>
      <c r="D70" s="1166" t="s">
        <v>466</v>
      </c>
      <c r="E70" s="1167" t="s">
        <v>6</v>
      </c>
      <c r="F70" s="826"/>
      <c r="G70" s="827"/>
      <c r="H70" s="825">
        <v>39289</v>
      </c>
      <c r="I70" s="1358"/>
      <c r="J70" s="828"/>
      <c r="K70" s="304"/>
      <c r="L70" s="856" t="s">
        <v>1187</v>
      </c>
    </row>
    <row r="71" spans="1:12" s="1398" customFormat="1" ht="35.1" customHeight="1" x14ac:dyDescent="0.2">
      <c r="A71" s="616" t="s">
        <v>467</v>
      </c>
      <c r="B71" s="825">
        <v>37965</v>
      </c>
      <c r="C71" s="725" t="s">
        <v>468</v>
      </c>
      <c r="D71" s="1166"/>
      <c r="E71" s="1167" t="s">
        <v>6</v>
      </c>
      <c r="F71" s="826"/>
      <c r="G71" s="827"/>
      <c r="H71" s="825">
        <v>39289</v>
      </c>
      <c r="I71" s="1358"/>
      <c r="J71" s="828"/>
      <c r="K71" s="304"/>
      <c r="L71" s="856" t="s">
        <v>1187</v>
      </c>
    </row>
    <row r="72" spans="1:12" s="1398" customFormat="1" ht="35.1" customHeight="1" x14ac:dyDescent="0.2">
      <c r="A72" s="616" t="s">
        <v>469</v>
      </c>
      <c r="B72" s="825">
        <v>38749</v>
      </c>
      <c r="C72" s="725" t="s">
        <v>470</v>
      </c>
      <c r="D72" s="1166"/>
      <c r="E72" s="1167" t="s">
        <v>6</v>
      </c>
      <c r="F72" s="826"/>
      <c r="G72" s="827"/>
      <c r="H72" s="825">
        <v>39289</v>
      </c>
      <c r="I72" s="1358"/>
      <c r="J72" s="828"/>
      <c r="K72" s="304"/>
      <c r="L72" s="829" t="s">
        <v>635</v>
      </c>
    </row>
    <row r="73" spans="1:12" s="1398" customFormat="1" ht="35.1" customHeight="1" x14ac:dyDescent="0.2">
      <c r="A73" s="616" t="s">
        <v>1223</v>
      </c>
      <c r="B73" s="825">
        <v>38961</v>
      </c>
      <c r="C73" s="725" t="s">
        <v>471</v>
      </c>
      <c r="D73" s="1166"/>
      <c r="E73" s="1167" t="s">
        <v>6</v>
      </c>
      <c r="F73" s="826"/>
      <c r="G73" s="827"/>
      <c r="H73" s="825">
        <v>39289</v>
      </c>
      <c r="I73" s="1358"/>
      <c r="J73" s="828"/>
      <c r="K73" s="304"/>
      <c r="L73" s="829" t="s">
        <v>636</v>
      </c>
    </row>
    <row r="74" spans="1:12" s="1398" customFormat="1" ht="35.1" customHeight="1" x14ac:dyDescent="0.2">
      <c r="A74" s="616" t="s">
        <v>28</v>
      </c>
      <c r="B74" s="825">
        <v>37741</v>
      </c>
      <c r="C74" s="725" t="s">
        <v>472</v>
      </c>
      <c r="D74" s="1166"/>
      <c r="E74" s="1167" t="s">
        <v>6</v>
      </c>
      <c r="F74" s="826"/>
      <c r="G74" s="827"/>
      <c r="H74" s="825">
        <v>39289</v>
      </c>
      <c r="I74" s="1358"/>
      <c r="J74" s="828"/>
      <c r="K74" s="304"/>
      <c r="L74" s="829" t="s">
        <v>1224</v>
      </c>
    </row>
    <row r="75" spans="1:12" s="1398" customFormat="1" ht="45" customHeight="1" x14ac:dyDescent="0.2">
      <c r="A75" s="616" t="s">
        <v>27</v>
      </c>
      <c r="B75" s="825">
        <v>37559</v>
      </c>
      <c r="C75" s="725" t="s">
        <v>473</v>
      </c>
      <c r="D75" s="1166"/>
      <c r="E75" s="1167" t="s">
        <v>6</v>
      </c>
      <c r="F75" s="826"/>
      <c r="G75" s="827"/>
      <c r="H75" s="825">
        <v>39289</v>
      </c>
      <c r="I75" s="1358"/>
      <c r="J75" s="828"/>
      <c r="K75" s="304"/>
      <c r="L75" s="829" t="s">
        <v>1221</v>
      </c>
    </row>
    <row r="76" spans="1:12" s="1398" customFormat="1" ht="35.1" customHeight="1" x14ac:dyDescent="0.2">
      <c r="A76" s="616" t="s">
        <v>474</v>
      </c>
      <c r="B76" s="825">
        <v>38035</v>
      </c>
      <c r="C76" s="725" t="s">
        <v>475</v>
      </c>
      <c r="D76" s="1166" t="s">
        <v>476</v>
      </c>
      <c r="E76" s="1167" t="s">
        <v>6</v>
      </c>
      <c r="F76" s="826"/>
      <c r="G76" s="1420"/>
      <c r="H76" s="825">
        <v>39289</v>
      </c>
      <c r="I76" s="1423"/>
      <c r="J76" s="828"/>
      <c r="K76" s="304"/>
      <c r="L76" s="856" t="s">
        <v>1187</v>
      </c>
    </row>
    <row r="77" spans="1:12" s="1398" customFormat="1" ht="35.1" customHeight="1" x14ac:dyDescent="0.2">
      <c r="A77" s="616" t="s">
        <v>477</v>
      </c>
      <c r="B77" s="825">
        <v>37685</v>
      </c>
      <c r="C77" s="725" t="s">
        <v>478</v>
      </c>
      <c r="D77" s="1166"/>
      <c r="E77" s="1167" t="s">
        <v>6</v>
      </c>
      <c r="F77" s="1427"/>
      <c r="G77" s="1428"/>
      <c r="H77" s="825">
        <v>39289</v>
      </c>
      <c r="I77" s="1358"/>
      <c r="J77" s="1429"/>
      <c r="K77" s="1430"/>
      <c r="L77" s="856" t="s">
        <v>1187</v>
      </c>
    </row>
    <row r="78" spans="1:12" s="1398" customFormat="1" ht="35.1" customHeight="1" x14ac:dyDescent="0.2">
      <c r="A78" s="616" t="s">
        <v>26</v>
      </c>
      <c r="B78" s="825">
        <v>38133</v>
      </c>
      <c r="C78" s="725" t="s">
        <v>479</v>
      </c>
      <c r="D78" s="1166" t="s">
        <v>480</v>
      </c>
      <c r="E78" s="1167" t="s">
        <v>6</v>
      </c>
      <c r="F78" s="826"/>
      <c r="G78" s="827"/>
      <c r="H78" s="825">
        <v>39289</v>
      </c>
      <c r="I78" s="1358"/>
      <c r="J78" s="828"/>
      <c r="K78" s="304"/>
      <c r="L78" s="856" t="s">
        <v>1187</v>
      </c>
    </row>
    <row r="79" spans="1:12" s="1398" customFormat="1" ht="35.1" customHeight="1" x14ac:dyDescent="0.2">
      <c r="A79" s="616" t="s">
        <v>481</v>
      </c>
      <c r="B79" s="1432">
        <v>38049</v>
      </c>
      <c r="C79" s="616" t="s">
        <v>482</v>
      </c>
      <c r="D79" s="1166"/>
      <c r="E79" s="1167" t="s">
        <v>6</v>
      </c>
      <c r="F79" s="826"/>
      <c r="G79" s="1420"/>
      <c r="H79" s="825">
        <v>39289</v>
      </c>
      <c r="I79" s="1423"/>
      <c r="J79" s="828"/>
      <c r="K79" s="304"/>
      <c r="L79" s="829" t="s">
        <v>638</v>
      </c>
    </row>
    <row r="80" spans="1:12" s="1398" customFormat="1" ht="35.1" customHeight="1" x14ac:dyDescent="0.2">
      <c r="A80" s="616" t="s">
        <v>1225</v>
      </c>
      <c r="B80" s="1432">
        <v>38961</v>
      </c>
      <c r="C80" s="616" t="s">
        <v>483</v>
      </c>
      <c r="D80" s="1166"/>
      <c r="E80" s="1167" t="s">
        <v>6</v>
      </c>
      <c r="F80" s="826"/>
      <c r="G80" s="1420"/>
      <c r="H80" s="825">
        <v>39289</v>
      </c>
      <c r="I80" s="1423"/>
      <c r="J80" s="828"/>
      <c r="K80" s="304"/>
      <c r="L80" s="829" t="s">
        <v>639</v>
      </c>
    </row>
    <row r="81" spans="1:12" s="1398" customFormat="1" ht="35.1" customHeight="1" x14ac:dyDescent="0.2">
      <c r="A81" s="616" t="s">
        <v>484</v>
      </c>
      <c r="B81" s="1432">
        <v>38063</v>
      </c>
      <c r="C81" s="616" t="s">
        <v>485</v>
      </c>
      <c r="D81" s="1166"/>
      <c r="E81" s="1167" t="s">
        <v>6</v>
      </c>
      <c r="F81" s="1433"/>
      <c r="G81" s="1434"/>
      <c r="H81" s="825">
        <v>39289</v>
      </c>
      <c r="I81" s="1423"/>
      <c r="J81" s="828"/>
      <c r="K81" s="304"/>
      <c r="L81" s="856" t="s">
        <v>1187</v>
      </c>
    </row>
    <row r="82" spans="1:12" s="1398" customFormat="1" ht="45" customHeight="1" x14ac:dyDescent="0.2">
      <c r="A82" s="616" t="s">
        <v>1226</v>
      </c>
      <c r="B82" s="1432">
        <v>38847</v>
      </c>
      <c r="C82" s="616" t="s">
        <v>486</v>
      </c>
      <c r="D82" s="1166"/>
      <c r="E82" s="1167" t="s">
        <v>6</v>
      </c>
      <c r="F82" s="826"/>
      <c r="G82" s="827"/>
      <c r="H82" s="825">
        <v>39289</v>
      </c>
      <c r="I82" s="1358"/>
      <c r="J82" s="828"/>
      <c r="K82" s="304"/>
      <c r="L82" s="829" t="s">
        <v>638</v>
      </c>
    </row>
    <row r="83" spans="1:12" s="1398" customFormat="1" ht="45" customHeight="1" x14ac:dyDescent="0.2">
      <c r="A83" s="616" t="s">
        <v>487</v>
      </c>
      <c r="B83" s="1432">
        <v>38105</v>
      </c>
      <c r="C83" s="616" t="s">
        <v>488</v>
      </c>
      <c r="D83" s="1166"/>
      <c r="E83" s="1167" t="s">
        <v>6</v>
      </c>
      <c r="F83" s="826"/>
      <c r="G83" s="1420"/>
      <c r="H83" s="825">
        <v>39289</v>
      </c>
      <c r="I83" s="1423"/>
      <c r="J83" s="828"/>
      <c r="K83" s="304"/>
      <c r="L83" s="856" t="s">
        <v>1187</v>
      </c>
    </row>
    <row r="84" spans="1:12" s="1398" customFormat="1" ht="35.1" customHeight="1" x14ac:dyDescent="0.2">
      <c r="A84" s="616" t="s">
        <v>489</v>
      </c>
      <c r="B84" s="1432">
        <v>38161</v>
      </c>
      <c r="C84" s="616" t="s">
        <v>490</v>
      </c>
      <c r="D84" s="1166"/>
      <c r="E84" s="1167" t="s">
        <v>6</v>
      </c>
      <c r="F84" s="826"/>
      <c r="G84" s="1420"/>
      <c r="H84" s="825">
        <v>39289</v>
      </c>
      <c r="I84" s="1423"/>
      <c r="J84" s="828"/>
      <c r="K84" s="304"/>
      <c r="L84" s="856" t="s">
        <v>1187</v>
      </c>
    </row>
    <row r="85" spans="1:12" s="1398" customFormat="1" ht="35.1" customHeight="1" x14ac:dyDescent="0.2">
      <c r="A85" s="616" t="s">
        <v>491</v>
      </c>
      <c r="B85" s="1432">
        <v>38161</v>
      </c>
      <c r="C85" s="616" t="s">
        <v>492</v>
      </c>
      <c r="D85" s="1166"/>
      <c r="E85" s="1167" t="s">
        <v>6</v>
      </c>
      <c r="F85" s="826"/>
      <c r="G85" s="1420"/>
      <c r="H85" s="825">
        <v>39289</v>
      </c>
      <c r="I85" s="1423"/>
      <c r="J85" s="828"/>
      <c r="K85" s="304"/>
      <c r="L85" s="829" t="s">
        <v>637</v>
      </c>
    </row>
    <row r="86" spans="1:12" s="1398" customFormat="1" ht="35.1" customHeight="1" x14ac:dyDescent="0.2">
      <c r="A86" s="616" t="s">
        <v>191</v>
      </c>
      <c r="B86" s="1432">
        <v>38427</v>
      </c>
      <c r="C86" s="616" t="s">
        <v>493</v>
      </c>
      <c r="D86" s="1166"/>
      <c r="E86" s="1167" t="s">
        <v>6</v>
      </c>
      <c r="F86" s="826"/>
      <c r="G86" s="1420"/>
      <c r="H86" s="825">
        <v>39289</v>
      </c>
      <c r="I86" s="1423"/>
      <c r="J86" s="828"/>
      <c r="K86" s="304"/>
      <c r="L86" s="856" t="s">
        <v>1187</v>
      </c>
    </row>
    <row r="87" spans="1:12" s="1398" customFormat="1" ht="35.1" customHeight="1" x14ac:dyDescent="0.2">
      <c r="A87" s="616" t="s">
        <v>494</v>
      </c>
      <c r="B87" s="1432">
        <v>38391</v>
      </c>
      <c r="C87" s="616" t="s">
        <v>495</v>
      </c>
      <c r="D87" s="1166"/>
      <c r="E87" s="1167" t="s">
        <v>6</v>
      </c>
      <c r="F87" s="826"/>
      <c r="G87" s="827"/>
      <c r="H87" s="825">
        <v>39289</v>
      </c>
      <c r="I87" s="1358"/>
      <c r="J87" s="828"/>
      <c r="K87" s="304"/>
      <c r="L87" s="829" t="s">
        <v>1227</v>
      </c>
    </row>
    <row r="88" spans="1:12" s="1398" customFormat="1" ht="35.1" customHeight="1" x14ac:dyDescent="0.2">
      <c r="A88" s="616" t="s">
        <v>1164</v>
      </c>
      <c r="B88" s="1432">
        <v>38847</v>
      </c>
      <c r="C88" s="616" t="s">
        <v>496</v>
      </c>
      <c r="D88" s="1166"/>
      <c r="E88" s="1167" t="s">
        <v>6</v>
      </c>
      <c r="F88" s="826"/>
      <c r="G88" s="1420"/>
      <c r="H88" s="825">
        <v>39289</v>
      </c>
      <c r="I88" s="1423"/>
      <c r="J88" s="828"/>
      <c r="K88" s="304"/>
      <c r="L88" s="829" t="s">
        <v>634</v>
      </c>
    </row>
    <row r="89" spans="1:12" s="1398" customFormat="1" ht="35.1" customHeight="1" x14ac:dyDescent="0.2">
      <c r="A89" s="616" t="s">
        <v>497</v>
      </c>
      <c r="B89" s="1432">
        <v>38567</v>
      </c>
      <c r="C89" s="616" t="s">
        <v>498</v>
      </c>
      <c r="D89" s="1166"/>
      <c r="E89" s="1167" t="s">
        <v>6</v>
      </c>
      <c r="F89" s="826"/>
      <c r="G89" s="1420"/>
      <c r="H89" s="825">
        <v>39289</v>
      </c>
      <c r="I89" s="1423"/>
      <c r="J89" s="828"/>
      <c r="K89" s="304"/>
      <c r="L89" s="829" t="s">
        <v>643</v>
      </c>
    </row>
    <row r="90" spans="1:12" s="1398" customFormat="1" ht="35.1" customHeight="1" x14ac:dyDescent="0.2">
      <c r="A90" s="616" t="s">
        <v>499</v>
      </c>
      <c r="B90" s="1432">
        <v>38833</v>
      </c>
      <c r="C90" s="616" t="s">
        <v>500</v>
      </c>
      <c r="D90" s="1166"/>
      <c r="E90" s="1167" t="s">
        <v>6</v>
      </c>
      <c r="F90" s="826"/>
      <c r="G90" s="1420"/>
      <c r="H90" s="825">
        <v>39289</v>
      </c>
      <c r="I90" s="1423"/>
      <c r="J90" s="828"/>
      <c r="K90" s="304"/>
      <c r="L90" s="829" t="s">
        <v>644</v>
      </c>
    </row>
    <row r="91" spans="1:12" s="1398" customFormat="1" ht="35.1" customHeight="1" x14ac:dyDescent="0.2">
      <c r="A91" s="616" t="s">
        <v>501</v>
      </c>
      <c r="B91" s="1432">
        <v>38847</v>
      </c>
      <c r="C91" s="616" t="s">
        <v>502</v>
      </c>
      <c r="D91" s="1166"/>
      <c r="E91" s="1167" t="s">
        <v>6</v>
      </c>
      <c r="F91" s="826"/>
      <c r="G91" s="1420"/>
      <c r="H91" s="825">
        <v>39289</v>
      </c>
      <c r="I91" s="1423"/>
      <c r="J91" s="828"/>
      <c r="K91" s="304"/>
      <c r="L91" s="829" t="s">
        <v>645</v>
      </c>
    </row>
    <row r="92" spans="1:12" s="1398" customFormat="1" ht="35.1" customHeight="1" x14ac:dyDescent="0.2">
      <c r="A92" s="616" t="s">
        <v>1228</v>
      </c>
      <c r="B92" s="1432">
        <v>38889</v>
      </c>
      <c r="C92" s="616" t="s">
        <v>503</v>
      </c>
      <c r="D92" s="1166"/>
      <c r="E92" s="1167" t="s">
        <v>6</v>
      </c>
      <c r="F92" s="826"/>
      <c r="G92" s="1420"/>
      <c r="H92" s="825">
        <v>39289</v>
      </c>
      <c r="I92" s="1423"/>
      <c r="J92" s="828"/>
      <c r="K92" s="304"/>
      <c r="L92" s="829" t="s">
        <v>633</v>
      </c>
    </row>
    <row r="93" spans="1:12" s="1398" customFormat="1" ht="35.1" customHeight="1" x14ac:dyDescent="0.2">
      <c r="A93" s="616" t="s">
        <v>1229</v>
      </c>
      <c r="B93" s="1432">
        <v>38974</v>
      </c>
      <c r="C93" s="616" t="s">
        <v>504</v>
      </c>
      <c r="D93" s="1166"/>
      <c r="E93" s="1167" t="s">
        <v>6</v>
      </c>
      <c r="F93" s="826"/>
      <c r="G93" s="1420"/>
      <c r="H93" s="825">
        <v>39289</v>
      </c>
      <c r="I93" s="1423"/>
      <c r="J93" s="828"/>
      <c r="K93" s="304"/>
      <c r="L93" s="829" t="s">
        <v>632</v>
      </c>
    </row>
    <row r="94" spans="1:12" s="1398" customFormat="1" ht="45" customHeight="1" x14ac:dyDescent="0.2">
      <c r="A94" s="616" t="s">
        <v>1230</v>
      </c>
      <c r="B94" s="1432">
        <v>38973</v>
      </c>
      <c r="C94" s="616" t="s">
        <v>498</v>
      </c>
      <c r="D94" s="1166"/>
      <c r="E94" s="1167" t="s">
        <v>6</v>
      </c>
      <c r="F94" s="826"/>
      <c r="G94" s="1420"/>
      <c r="H94" s="825">
        <v>39289</v>
      </c>
      <c r="I94" s="1423"/>
      <c r="J94" s="828"/>
      <c r="K94" s="304"/>
      <c r="L94" s="829" t="s">
        <v>631</v>
      </c>
    </row>
    <row r="95" spans="1:12" s="1398" customFormat="1" ht="35.1" customHeight="1" x14ac:dyDescent="0.2">
      <c r="A95" s="616" t="s">
        <v>505</v>
      </c>
      <c r="B95" s="1432">
        <v>39085</v>
      </c>
      <c r="C95" s="616" t="s">
        <v>506</v>
      </c>
      <c r="D95" s="1166"/>
      <c r="E95" s="1167" t="s">
        <v>6</v>
      </c>
      <c r="F95" s="826"/>
      <c r="G95" s="1420"/>
      <c r="H95" s="825">
        <v>39289</v>
      </c>
      <c r="I95" s="1423"/>
      <c r="J95" s="828"/>
      <c r="K95" s="304"/>
      <c r="L95" s="829" t="s">
        <v>630</v>
      </c>
    </row>
    <row r="96" spans="1:12" s="1398" customFormat="1" ht="35.1" customHeight="1" x14ac:dyDescent="0.2">
      <c r="A96" s="616" t="s">
        <v>507</v>
      </c>
      <c r="B96" s="1432">
        <v>38143</v>
      </c>
      <c r="C96" s="616" t="s">
        <v>508</v>
      </c>
      <c r="D96" s="1166"/>
      <c r="E96" s="1167" t="s">
        <v>6</v>
      </c>
      <c r="F96" s="1433"/>
      <c r="G96" s="1434"/>
      <c r="H96" s="825">
        <v>39289</v>
      </c>
      <c r="I96" s="1423"/>
      <c r="J96" s="828"/>
      <c r="K96" s="304"/>
      <c r="L96" s="856" t="s">
        <v>1187</v>
      </c>
    </row>
    <row r="97" spans="1:12" s="1398" customFormat="1" ht="35.1" customHeight="1" x14ac:dyDescent="0.2">
      <c r="A97" s="616" t="s">
        <v>509</v>
      </c>
      <c r="B97" s="1432">
        <v>38171</v>
      </c>
      <c r="C97" s="616" t="s">
        <v>510</v>
      </c>
      <c r="D97" s="1166"/>
      <c r="E97" s="1167" t="s">
        <v>6</v>
      </c>
      <c r="F97" s="826"/>
      <c r="G97" s="1420"/>
      <c r="H97" s="825">
        <v>39289</v>
      </c>
      <c r="I97" s="1423"/>
      <c r="J97" s="828"/>
      <c r="K97" s="304"/>
      <c r="L97" s="856" t="s">
        <v>1187</v>
      </c>
    </row>
    <row r="98" spans="1:12" s="1398" customFormat="1" ht="35.1" customHeight="1" x14ac:dyDescent="0.2">
      <c r="A98" s="616" t="s">
        <v>511</v>
      </c>
      <c r="B98" s="1432">
        <v>38255</v>
      </c>
      <c r="C98" s="616" t="s">
        <v>512</v>
      </c>
      <c r="D98" s="1166"/>
      <c r="E98" s="1167" t="s">
        <v>6</v>
      </c>
      <c r="F98" s="826"/>
      <c r="G98" s="1420"/>
      <c r="H98" s="825">
        <v>39289</v>
      </c>
      <c r="I98" s="1423"/>
      <c r="J98" s="828"/>
      <c r="K98" s="304"/>
      <c r="L98" s="856" t="s">
        <v>1187</v>
      </c>
    </row>
    <row r="99" spans="1:12" s="1398" customFormat="1" ht="35.1" customHeight="1" x14ac:dyDescent="0.2">
      <c r="A99" s="616" t="s">
        <v>677</v>
      </c>
      <c r="B99" s="1435">
        <v>38420</v>
      </c>
      <c r="C99" s="616" t="s">
        <v>678</v>
      </c>
      <c r="D99" s="1167"/>
      <c r="E99" s="1167" t="s">
        <v>6</v>
      </c>
      <c r="F99" s="826"/>
      <c r="G99" s="827"/>
      <c r="H99" s="825">
        <v>39289</v>
      </c>
      <c r="I99" s="1358"/>
      <c r="J99" s="828"/>
      <c r="K99" s="304"/>
      <c r="L99" s="829" t="s">
        <v>521</v>
      </c>
    </row>
    <row r="100" spans="1:12" s="1398" customFormat="1" ht="35.1" customHeight="1" x14ac:dyDescent="0.2">
      <c r="A100" s="616" t="s">
        <v>513</v>
      </c>
      <c r="B100" s="1432">
        <v>38497</v>
      </c>
      <c r="C100" s="616" t="s">
        <v>514</v>
      </c>
      <c r="D100" s="1166"/>
      <c r="E100" s="1167" t="s">
        <v>6</v>
      </c>
      <c r="F100" s="826"/>
      <c r="G100" s="1420"/>
      <c r="H100" s="825">
        <v>39289</v>
      </c>
      <c r="I100" s="1423"/>
      <c r="J100" s="828"/>
      <c r="K100" s="304"/>
      <c r="L100" s="829" t="s">
        <v>645</v>
      </c>
    </row>
    <row r="101" spans="1:12" s="1398" customFormat="1" ht="35.1" customHeight="1" x14ac:dyDescent="0.2">
      <c r="A101" s="616" t="s">
        <v>515</v>
      </c>
      <c r="B101" s="1435">
        <v>38502</v>
      </c>
      <c r="C101" s="616" t="s">
        <v>516</v>
      </c>
      <c r="D101" s="1167"/>
      <c r="E101" s="1167" t="s">
        <v>6</v>
      </c>
      <c r="F101" s="826"/>
      <c r="G101" s="827"/>
      <c r="H101" s="825">
        <v>39289</v>
      </c>
      <c r="I101" s="1358"/>
      <c r="J101" s="828"/>
      <c r="K101" s="304"/>
      <c r="L101" s="829" t="s">
        <v>646</v>
      </c>
    </row>
    <row r="102" spans="1:12" s="1398" customFormat="1" ht="35.1" customHeight="1" x14ac:dyDescent="0.2">
      <c r="A102" s="616" t="s">
        <v>674</v>
      </c>
      <c r="B102" s="1435">
        <v>38601</v>
      </c>
      <c r="C102" s="616" t="s">
        <v>675</v>
      </c>
      <c r="D102" s="1167"/>
      <c r="E102" s="1167" t="s">
        <v>6</v>
      </c>
      <c r="F102" s="826"/>
      <c r="G102" s="827"/>
      <c r="H102" s="825">
        <v>39289</v>
      </c>
      <c r="I102" s="1358"/>
      <c r="J102" s="828"/>
      <c r="K102" s="304"/>
      <c r="L102" s="829" t="s">
        <v>381</v>
      </c>
    </row>
    <row r="103" spans="1:12" s="1398" customFormat="1" ht="35.1" customHeight="1" x14ac:dyDescent="0.2">
      <c r="A103" s="616" t="s">
        <v>676</v>
      </c>
      <c r="B103" s="1435">
        <v>38560</v>
      </c>
      <c r="C103" s="616" t="s">
        <v>498</v>
      </c>
      <c r="D103" s="1166"/>
      <c r="E103" s="1167" t="s">
        <v>6</v>
      </c>
      <c r="F103" s="826"/>
      <c r="G103" s="1420"/>
      <c r="H103" s="825">
        <v>39289</v>
      </c>
      <c r="I103" s="303" t="s">
        <v>559</v>
      </c>
      <c r="J103" s="828"/>
      <c r="K103" s="304"/>
      <c r="L103" s="829" t="s">
        <v>567</v>
      </c>
    </row>
    <row r="104" spans="1:12" s="1398" customFormat="1" ht="35.1" customHeight="1" x14ac:dyDescent="0.2">
      <c r="A104" s="616" t="s">
        <v>517</v>
      </c>
      <c r="B104" s="1435">
        <v>38777</v>
      </c>
      <c r="C104" s="616" t="s">
        <v>518</v>
      </c>
      <c r="D104" s="1167"/>
      <c r="E104" s="1167" t="s">
        <v>6</v>
      </c>
      <c r="F104" s="826"/>
      <c r="G104" s="827"/>
      <c r="H104" s="825">
        <v>39289</v>
      </c>
      <c r="I104" s="303"/>
      <c r="J104" s="828"/>
      <c r="K104" s="304"/>
      <c r="L104" s="856" t="s">
        <v>1187</v>
      </c>
    </row>
    <row r="105" spans="1:12" s="1398" customFormat="1" ht="35.1" customHeight="1" x14ac:dyDescent="0.2">
      <c r="A105" s="616" t="s">
        <v>519</v>
      </c>
      <c r="B105" s="1435">
        <v>38810</v>
      </c>
      <c r="C105" s="616" t="s">
        <v>520</v>
      </c>
      <c r="D105" s="1167"/>
      <c r="E105" s="1167" t="s">
        <v>6</v>
      </c>
      <c r="F105" s="826"/>
      <c r="G105" s="827"/>
      <c r="H105" s="825">
        <v>39289</v>
      </c>
      <c r="I105" s="1358"/>
      <c r="J105" s="828"/>
      <c r="K105" s="304"/>
      <c r="L105" s="829" t="s">
        <v>1233</v>
      </c>
    </row>
    <row r="106" spans="1:12" s="1398" customFormat="1" ht="35.1" customHeight="1" x14ac:dyDescent="0.2">
      <c r="A106" s="616" t="s">
        <v>522</v>
      </c>
      <c r="B106" s="1435">
        <v>38831</v>
      </c>
      <c r="C106" s="616" t="s">
        <v>523</v>
      </c>
      <c r="D106" s="1167"/>
      <c r="E106" s="1167" t="s">
        <v>6</v>
      </c>
      <c r="F106" s="826"/>
      <c r="G106" s="827"/>
      <c r="H106" s="825">
        <v>39289</v>
      </c>
      <c r="I106" s="1436"/>
      <c r="J106" s="828"/>
      <c r="K106" s="304"/>
      <c r="L106" s="856" t="s">
        <v>1187</v>
      </c>
    </row>
    <row r="107" spans="1:12" s="1398" customFormat="1" ht="35.1" customHeight="1" x14ac:dyDescent="0.2">
      <c r="A107" s="616" t="s">
        <v>1163</v>
      </c>
      <c r="B107" s="1435">
        <v>38947</v>
      </c>
      <c r="C107" s="616" t="s">
        <v>523</v>
      </c>
      <c r="D107" s="1167"/>
      <c r="E107" s="1167" t="s">
        <v>6</v>
      </c>
      <c r="F107" s="826"/>
      <c r="G107" s="827"/>
      <c r="H107" s="825">
        <v>39626</v>
      </c>
      <c r="I107" s="1358"/>
      <c r="J107" s="828"/>
      <c r="K107" s="304"/>
      <c r="L107" s="829" t="s">
        <v>628</v>
      </c>
    </row>
    <row r="108" spans="1:12" s="1398" customFormat="1" ht="35.1" customHeight="1" x14ac:dyDescent="0.2">
      <c r="A108" s="616" t="s">
        <v>524</v>
      </c>
      <c r="B108" s="1435">
        <v>38831</v>
      </c>
      <c r="C108" s="616" t="s">
        <v>525</v>
      </c>
      <c r="D108" s="1167"/>
      <c r="E108" s="1167" t="s">
        <v>6</v>
      </c>
      <c r="F108" s="826"/>
      <c r="G108" s="827"/>
      <c r="H108" s="825">
        <v>39289</v>
      </c>
      <c r="I108" s="303"/>
      <c r="J108" s="828"/>
      <c r="K108" s="304"/>
      <c r="L108" s="829" t="s">
        <v>1221</v>
      </c>
    </row>
    <row r="109" spans="1:12" s="1398" customFormat="1" ht="35.1" customHeight="1" x14ac:dyDescent="0.2">
      <c r="A109" s="616" t="s">
        <v>526</v>
      </c>
      <c r="B109" s="1435">
        <v>38831</v>
      </c>
      <c r="C109" s="616" t="s">
        <v>527</v>
      </c>
      <c r="D109" s="1167"/>
      <c r="E109" s="1167" t="s">
        <v>6</v>
      </c>
      <c r="F109" s="826"/>
      <c r="G109" s="827"/>
      <c r="H109" s="825">
        <v>39289</v>
      </c>
      <c r="I109" s="1358"/>
      <c r="J109" s="828"/>
      <c r="K109" s="304"/>
      <c r="L109" s="856" t="s">
        <v>1187</v>
      </c>
    </row>
    <row r="110" spans="1:12" s="1398" customFormat="1" ht="35.1" customHeight="1" x14ac:dyDescent="0.2">
      <c r="A110" s="616" t="s">
        <v>528</v>
      </c>
      <c r="B110" s="1435">
        <v>38877</v>
      </c>
      <c r="C110" s="616" t="s">
        <v>529</v>
      </c>
      <c r="D110" s="1167"/>
      <c r="E110" s="1167" t="s">
        <v>6</v>
      </c>
      <c r="F110" s="826"/>
      <c r="G110" s="827"/>
      <c r="H110" s="825">
        <v>39289</v>
      </c>
      <c r="I110" s="303"/>
      <c r="J110" s="828"/>
      <c r="K110" s="304"/>
      <c r="L110" s="829" t="s">
        <v>1221</v>
      </c>
    </row>
    <row r="111" spans="1:12" s="1398" customFormat="1" ht="35.1" customHeight="1" x14ac:dyDescent="0.2">
      <c r="A111" s="616" t="s">
        <v>530</v>
      </c>
      <c r="B111" s="1435">
        <v>38938</v>
      </c>
      <c r="C111" s="616" t="s">
        <v>531</v>
      </c>
      <c r="D111" s="1167"/>
      <c r="E111" s="1167" t="s">
        <v>6</v>
      </c>
      <c r="F111" s="826"/>
      <c r="G111" s="827"/>
      <c r="H111" s="825">
        <v>39289</v>
      </c>
      <c r="I111" s="1437"/>
      <c r="J111" s="1429"/>
      <c r="K111" s="1430"/>
      <c r="L111" s="829" t="s">
        <v>629</v>
      </c>
    </row>
    <row r="112" spans="1:12" s="1398" customFormat="1" ht="35.1" customHeight="1" x14ac:dyDescent="0.2">
      <c r="A112" s="616" t="s">
        <v>532</v>
      </c>
      <c r="B112" s="1435">
        <v>38951</v>
      </c>
      <c r="C112" s="616" t="s">
        <v>533</v>
      </c>
      <c r="D112" s="1167" t="s">
        <v>534</v>
      </c>
      <c r="E112" s="1167" t="s">
        <v>6</v>
      </c>
      <c r="F112" s="1425"/>
      <c r="G112" s="1438"/>
      <c r="H112" s="825">
        <v>39289</v>
      </c>
      <c r="I112" s="1358"/>
      <c r="J112" s="1426"/>
      <c r="K112" s="305"/>
      <c r="L112" s="829" t="s">
        <v>1234</v>
      </c>
    </row>
    <row r="113" spans="1:12" s="1398" customFormat="1" ht="35.1" customHeight="1" x14ac:dyDescent="0.2">
      <c r="A113" s="616" t="s">
        <v>535</v>
      </c>
      <c r="B113" s="1435">
        <v>38951</v>
      </c>
      <c r="C113" s="616" t="s">
        <v>536</v>
      </c>
      <c r="D113" s="1167"/>
      <c r="E113" s="1167" t="s">
        <v>6</v>
      </c>
      <c r="F113" s="826"/>
      <c r="G113" s="827"/>
      <c r="H113" s="825">
        <v>39289</v>
      </c>
      <c r="I113" s="1358"/>
      <c r="J113" s="828"/>
      <c r="K113" s="304"/>
      <c r="L113" s="856" t="s">
        <v>1187</v>
      </c>
    </row>
    <row r="114" spans="1:12" s="1398" customFormat="1" ht="35.1" customHeight="1" x14ac:dyDescent="0.2">
      <c r="A114" s="616" t="s">
        <v>625</v>
      </c>
      <c r="B114" s="1435">
        <v>39262</v>
      </c>
      <c r="C114" s="616" t="s">
        <v>537</v>
      </c>
      <c r="D114" s="1167"/>
      <c r="E114" s="1167" t="s">
        <v>6</v>
      </c>
      <c r="F114" s="826"/>
      <c r="G114" s="827"/>
      <c r="H114" s="825">
        <v>39289</v>
      </c>
      <c r="I114" s="1358"/>
      <c r="J114" s="828"/>
      <c r="K114" s="304"/>
      <c r="L114" s="829" t="s">
        <v>538</v>
      </c>
    </row>
    <row r="115" spans="1:12" s="1398" customFormat="1" ht="35.1" customHeight="1" x14ac:dyDescent="0.2">
      <c r="A115" s="616" t="s">
        <v>539</v>
      </c>
      <c r="B115" s="1435">
        <v>38951</v>
      </c>
      <c r="C115" s="616" t="s">
        <v>540</v>
      </c>
      <c r="D115" s="1167"/>
      <c r="E115" s="1167" t="s">
        <v>6</v>
      </c>
      <c r="F115" s="826"/>
      <c r="G115" s="827"/>
      <c r="H115" s="825">
        <v>39289</v>
      </c>
      <c r="I115" s="1358"/>
      <c r="J115" s="828"/>
      <c r="K115" s="304"/>
      <c r="L115" s="829" t="s">
        <v>627</v>
      </c>
    </row>
    <row r="116" spans="1:12" s="1398" customFormat="1" ht="34.5" customHeight="1" x14ac:dyDescent="0.2">
      <c r="A116" s="616" t="s">
        <v>541</v>
      </c>
      <c r="B116" s="1435">
        <v>38951</v>
      </c>
      <c r="C116" s="616" t="s">
        <v>542</v>
      </c>
      <c r="D116" s="1167" t="s">
        <v>543</v>
      </c>
      <c r="E116" s="1167" t="s">
        <v>6</v>
      </c>
      <c r="F116" s="826"/>
      <c r="G116" s="827"/>
      <c r="H116" s="825">
        <v>40940</v>
      </c>
      <c r="I116" s="303"/>
      <c r="J116" s="828"/>
      <c r="K116" s="304"/>
      <c r="L116" s="829" t="s">
        <v>1235</v>
      </c>
    </row>
    <row r="117" spans="1:12" s="1398" customFormat="1" ht="34.5" customHeight="1" x14ac:dyDescent="0.2">
      <c r="A117" s="616" t="s">
        <v>544</v>
      </c>
      <c r="B117" s="1435">
        <v>38959</v>
      </c>
      <c r="C117" s="616" t="s">
        <v>545</v>
      </c>
      <c r="D117" s="1167"/>
      <c r="E117" s="1167" t="s">
        <v>6</v>
      </c>
      <c r="F117" s="1439"/>
      <c r="G117" s="1440"/>
      <c r="H117" s="825">
        <v>39289</v>
      </c>
      <c r="I117" s="1358"/>
      <c r="J117" s="1173"/>
      <c r="K117" s="1441"/>
      <c r="L117" s="829" t="s">
        <v>1236</v>
      </c>
    </row>
    <row r="118" spans="1:12" s="1398" customFormat="1" ht="34.5" customHeight="1" x14ac:dyDescent="0.2">
      <c r="A118" s="616" t="s">
        <v>1237</v>
      </c>
      <c r="B118" s="1435">
        <v>38964</v>
      </c>
      <c r="C118" s="616" t="s">
        <v>546</v>
      </c>
      <c r="D118" s="1167" t="s">
        <v>547</v>
      </c>
      <c r="E118" s="1167" t="s">
        <v>6</v>
      </c>
      <c r="F118" s="826"/>
      <c r="G118" s="1440"/>
      <c r="H118" s="825">
        <v>39289</v>
      </c>
      <c r="I118" s="1358"/>
      <c r="J118" s="828"/>
      <c r="K118" s="304"/>
      <c r="L118" s="856" t="s">
        <v>1187</v>
      </c>
    </row>
    <row r="119" spans="1:12" s="1398" customFormat="1" ht="35.1" customHeight="1" x14ac:dyDescent="0.2">
      <c r="A119" s="616" t="s">
        <v>548</v>
      </c>
      <c r="B119" s="1435">
        <v>39028</v>
      </c>
      <c r="C119" s="616" t="s">
        <v>549</v>
      </c>
      <c r="D119" s="1167" t="s">
        <v>550</v>
      </c>
      <c r="E119" s="1167" t="s">
        <v>6</v>
      </c>
      <c r="F119" s="826"/>
      <c r="G119" s="827"/>
      <c r="H119" s="825">
        <v>39289</v>
      </c>
      <c r="I119" s="303"/>
      <c r="J119" s="828"/>
      <c r="K119" s="304"/>
      <c r="L119" s="856" t="s">
        <v>1187</v>
      </c>
    </row>
    <row r="120" spans="1:12" s="1398" customFormat="1" ht="35.1" customHeight="1" x14ac:dyDescent="0.2">
      <c r="A120" s="616" t="s">
        <v>551</v>
      </c>
      <c r="B120" s="1435">
        <v>39072</v>
      </c>
      <c r="C120" s="616" t="s">
        <v>552</v>
      </c>
      <c r="D120" s="1167"/>
      <c r="E120" s="1167" t="s">
        <v>6</v>
      </c>
      <c r="F120" s="826"/>
      <c r="G120" s="827"/>
      <c r="H120" s="825">
        <v>39289</v>
      </c>
      <c r="I120" s="303"/>
      <c r="J120" s="828"/>
      <c r="K120" s="304"/>
      <c r="L120" s="829" t="s">
        <v>626</v>
      </c>
    </row>
    <row r="121" spans="1:12" s="1398" customFormat="1" ht="35.1" customHeight="1" x14ac:dyDescent="0.2">
      <c r="A121" s="616" t="s">
        <v>553</v>
      </c>
      <c r="B121" s="1435">
        <v>39183</v>
      </c>
      <c r="C121" s="616" t="s">
        <v>554</v>
      </c>
      <c r="D121" s="1167" t="s">
        <v>555</v>
      </c>
      <c r="E121" s="1167" t="s">
        <v>6</v>
      </c>
      <c r="F121" s="826"/>
      <c r="G121" s="827"/>
      <c r="H121" s="825">
        <v>39289</v>
      </c>
      <c r="I121" s="303"/>
      <c r="J121" s="828"/>
      <c r="K121" s="304"/>
      <c r="L121" s="856" t="s">
        <v>1187</v>
      </c>
    </row>
    <row r="122" spans="1:12" s="1398" customFormat="1" ht="35.1" customHeight="1" x14ac:dyDescent="0.2">
      <c r="A122" s="616" t="s">
        <v>556</v>
      </c>
      <c r="B122" s="1435">
        <v>39213</v>
      </c>
      <c r="C122" s="616" t="s">
        <v>557</v>
      </c>
      <c r="D122" s="1167" t="s">
        <v>558</v>
      </c>
      <c r="E122" s="1167" t="s">
        <v>6</v>
      </c>
      <c r="F122" s="826"/>
      <c r="G122" s="827"/>
      <c r="H122" s="825">
        <v>39289</v>
      </c>
      <c r="I122" s="303"/>
      <c r="J122" s="828"/>
      <c r="K122" s="304"/>
      <c r="L122" s="856" t="s">
        <v>1187</v>
      </c>
    </row>
    <row r="123" spans="1:12" s="226" customFormat="1" ht="35.1" customHeight="1" x14ac:dyDescent="0.2">
      <c r="A123" s="616" t="s">
        <v>624</v>
      </c>
      <c r="B123" s="1435">
        <v>39847</v>
      </c>
      <c r="C123" s="616" t="s">
        <v>560</v>
      </c>
      <c r="D123" s="1167"/>
      <c r="E123" s="1167" t="s">
        <v>6</v>
      </c>
      <c r="F123" s="826"/>
      <c r="G123" s="827"/>
      <c r="H123" s="825">
        <v>39289</v>
      </c>
      <c r="I123" s="303"/>
      <c r="J123" s="828"/>
      <c r="K123" s="304"/>
      <c r="L123" s="829" t="s">
        <v>623</v>
      </c>
    </row>
    <row r="124" spans="1:12" s="1398" customFormat="1" ht="35.1" customHeight="1" x14ac:dyDescent="0.2">
      <c r="A124" s="616" t="s">
        <v>1238</v>
      </c>
      <c r="B124" s="1435">
        <v>39217</v>
      </c>
      <c r="C124" s="616" t="s">
        <v>561</v>
      </c>
      <c r="D124" s="1167"/>
      <c r="E124" s="1167" t="s">
        <v>6</v>
      </c>
      <c r="F124" s="826"/>
      <c r="G124" s="827"/>
      <c r="H124" s="825">
        <v>39289</v>
      </c>
      <c r="I124" s="303"/>
      <c r="J124" s="828"/>
      <c r="K124" s="304"/>
      <c r="L124" s="856" t="s">
        <v>1187</v>
      </c>
    </row>
    <row r="125" spans="1:12" s="1398" customFormat="1" ht="35.1" customHeight="1" x14ac:dyDescent="0.2">
      <c r="A125" s="616" t="s">
        <v>562</v>
      </c>
      <c r="B125" s="1435">
        <v>39223</v>
      </c>
      <c r="C125" s="616" t="s">
        <v>563</v>
      </c>
      <c r="D125" s="1167"/>
      <c r="E125" s="1167" t="s">
        <v>6</v>
      </c>
      <c r="F125" s="826"/>
      <c r="G125" s="827"/>
      <c r="H125" s="825">
        <v>39289</v>
      </c>
      <c r="I125" s="303"/>
      <c r="J125" s="828"/>
      <c r="K125" s="304"/>
      <c r="L125" s="856" t="s">
        <v>1187</v>
      </c>
    </row>
    <row r="126" spans="1:12" s="1398" customFormat="1" ht="35.1" customHeight="1" x14ac:dyDescent="0.2">
      <c r="A126" s="616" t="s">
        <v>1239</v>
      </c>
      <c r="B126" s="1435">
        <v>39300</v>
      </c>
      <c r="C126" s="616" t="s">
        <v>564</v>
      </c>
      <c r="D126" s="1167" t="s">
        <v>619</v>
      </c>
      <c r="E126" s="1167" t="s">
        <v>6</v>
      </c>
      <c r="F126" s="826"/>
      <c r="G126" s="827"/>
      <c r="H126" s="825">
        <v>39289</v>
      </c>
      <c r="I126" s="303"/>
      <c r="J126" s="828"/>
      <c r="K126" s="304"/>
      <c r="L126" s="856" t="s">
        <v>1187</v>
      </c>
    </row>
    <row r="127" spans="1:12" s="1398" customFormat="1" ht="35.1" customHeight="1" x14ac:dyDescent="0.2">
      <c r="A127" s="616" t="s">
        <v>565</v>
      </c>
      <c r="B127" s="1435">
        <v>39325</v>
      </c>
      <c r="C127" s="616" t="s">
        <v>566</v>
      </c>
      <c r="D127" s="1167" t="s">
        <v>568</v>
      </c>
      <c r="E127" s="1167" t="s">
        <v>6</v>
      </c>
      <c r="F127" s="826"/>
      <c r="G127" s="827"/>
      <c r="H127" s="825">
        <v>39325</v>
      </c>
      <c r="I127" s="303"/>
      <c r="J127" s="828"/>
      <c r="K127" s="304"/>
      <c r="L127" s="856" t="s">
        <v>1187</v>
      </c>
    </row>
    <row r="128" spans="1:12" s="1398" customFormat="1" ht="35.1" customHeight="1" x14ac:dyDescent="0.2">
      <c r="A128" s="616" t="s">
        <v>569</v>
      </c>
      <c r="B128" s="1435">
        <v>39344</v>
      </c>
      <c r="C128" s="616" t="s">
        <v>570</v>
      </c>
      <c r="D128" s="1167" t="s">
        <v>571</v>
      </c>
      <c r="E128" s="1167" t="s">
        <v>6</v>
      </c>
      <c r="F128" s="826"/>
      <c r="G128" s="827"/>
      <c r="H128" s="825">
        <v>39350</v>
      </c>
      <c r="I128" s="303"/>
      <c r="J128" s="828"/>
      <c r="K128" s="304"/>
      <c r="L128" s="829" t="s">
        <v>1240</v>
      </c>
    </row>
    <row r="129" spans="1:13" s="1398" customFormat="1" ht="35.1" customHeight="1" x14ac:dyDescent="0.2">
      <c r="A129" s="616" t="s">
        <v>572</v>
      </c>
      <c r="B129" s="1435">
        <v>39405</v>
      </c>
      <c r="C129" s="616" t="s">
        <v>573</v>
      </c>
      <c r="D129" s="1167" t="s">
        <v>574</v>
      </c>
      <c r="E129" s="1167" t="s">
        <v>6</v>
      </c>
      <c r="F129" s="826"/>
      <c r="G129" s="827"/>
      <c r="H129" s="825">
        <v>39405</v>
      </c>
      <c r="I129" s="303"/>
      <c r="J129" s="828"/>
      <c r="K129" s="304"/>
      <c r="L129" s="829" t="s">
        <v>1241</v>
      </c>
    </row>
    <row r="130" spans="1:13" s="1398" customFormat="1" ht="34.5" customHeight="1" x14ac:dyDescent="0.2">
      <c r="A130" s="616" t="s">
        <v>575</v>
      </c>
      <c r="B130" s="1435">
        <v>39505</v>
      </c>
      <c r="C130" s="616" t="s">
        <v>576</v>
      </c>
      <c r="D130" s="1167" t="s">
        <v>579</v>
      </c>
      <c r="E130" s="1167" t="s">
        <v>6</v>
      </c>
      <c r="F130" s="826"/>
      <c r="G130" s="827"/>
      <c r="H130" s="825">
        <v>39505</v>
      </c>
      <c r="I130" s="303"/>
      <c r="J130" s="828"/>
      <c r="K130" s="304"/>
      <c r="L130" s="829" t="s">
        <v>1242</v>
      </c>
    </row>
    <row r="131" spans="1:13" s="1398" customFormat="1" ht="35.1" customHeight="1" x14ac:dyDescent="0.2">
      <c r="A131" s="616" t="s">
        <v>577</v>
      </c>
      <c r="B131" s="1435">
        <v>39626</v>
      </c>
      <c r="C131" s="616" t="s">
        <v>578</v>
      </c>
      <c r="D131" s="1167"/>
      <c r="E131" s="1167" t="s">
        <v>6</v>
      </c>
      <c r="F131" s="826"/>
      <c r="G131" s="827"/>
      <c r="H131" s="825">
        <v>39863</v>
      </c>
      <c r="I131" s="303"/>
      <c r="J131" s="828"/>
      <c r="K131" s="304"/>
      <c r="L131" s="829" t="s">
        <v>620</v>
      </c>
    </row>
    <row r="132" spans="1:13" s="1398" customFormat="1" ht="45" customHeight="1" x14ac:dyDescent="0.2">
      <c r="A132" s="616" t="s">
        <v>1243</v>
      </c>
      <c r="B132" s="1435">
        <v>39856</v>
      </c>
      <c r="C132" s="616" t="s">
        <v>580</v>
      </c>
      <c r="D132" s="1167"/>
      <c r="E132" s="1167" t="s">
        <v>6</v>
      </c>
      <c r="F132" s="826"/>
      <c r="G132" s="1440"/>
      <c r="H132" s="825">
        <v>39856</v>
      </c>
      <c r="I132" s="303"/>
      <c r="J132" s="828"/>
      <c r="K132" s="304"/>
      <c r="L132" s="856" t="s">
        <v>1187</v>
      </c>
    </row>
    <row r="133" spans="1:13" ht="45" customHeight="1" x14ac:dyDescent="0.2">
      <c r="A133" s="1357" t="s">
        <v>1245</v>
      </c>
      <c r="B133" s="825">
        <v>39863</v>
      </c>
      <c r="C133" s="725" t="s">
        <v>581</v>
      </c>
      <c r="D133" s="1166" t="s">
        <v>582</v>
      </c>
      <c r="E133" s="1167" t="s">
        <v>6</v>
      </c>
      <c r="F133" s="826"/>
      <c r="G133" s="827"/>
      <c r="H133" s="825">
        <v>39863</v>
      </c>
      <c r="I133" s="306"/>
      <c r="J133" s="828"/>
      <c r="K133" s="304"/>
      <c r="L133" s="829" t="s">
        <v>1244</v>
      </c>
    </row>
    <row r="134" spans="1:13" ht="35.1" customHeight="1" x14ac:dyDescent="0.2">
      <c r="A134" s="1357" t="s">
        <v>605</v>
      </c>
      <c r="B134" s="825">
        <v>40478</v>
      </c>
      <c r="C134" s="725" t="s">
        <v>51</v>
      </c>
      <c r="D134" s="1166" t="s">
        <v>194</v>
      </c>
      <c r="E134" s="1167" t="s">
        <v>6</v>
      </c>
      <c r="F134" s="826"/>
      <c r="G134" s="827"/>
      <c r="H134" s="825">
        <v>40478</v>
      </c>
      <c r="I134" s="306"/>
      <c r="J134" s="828"/>
      <c r="K134" s="304"/>
      <c r="L134" s="829" t="s">
        <v>1246</v>
      </c>
    </row>
    <row r="135" spans="1:13" ht="35.1" customHeight="1" x14ac:dyDescent="0.2">
      <c r="A135" s="1357" t="s">
        <v>606</v>
      </c>
      <c r="B135" s="825">
        <v>39980</v>
      </c>
      <c r="C135" s="725" t="s">
        <v>52</v>
      </c>
      <c r="D135" s="1166"/>
      <c r="E135" s="1167" t="s">
        <v>6</v>
      </c>
      <c r="F135" s="1442"/>
      <c r="G135" s="827"/>
      <c r="H135" s="825">
        <v>40003</v>
      </c>
      <c r="I135" s="306"/>
      <c r="J135" s="828"/>
      <c r="K135" s="304"/>
      <c r="L135" s="829" t="s">
        <v>622</v>
      </c>
    </row>
    <row r="136" spans="1:13" ht="35.1" customHeight="1" x14ac:dyDescent="0.2">
      <c r="A136" s="1357" t="s">
        <v>607</v>
      </c>
      <c r="B136" s="825">
        <v>40003</v>
      </c>
      <c r="C136" s="725" t="s">
        <v>53</v>
      </c>
      <c r="D136" s="1166"/>
      <c r="E136" s="1167" t="s">
        <v>6</v>
      </c>
      <c r="F136" s="826"/>
      <c r="G136" s="827"/>
      <c r="H136" s="825">
        <v>40036</v>
      </c>
      <c r="I136" s="306"/>
      <c r="J136" s="828"/>
      <c r="K136" s="304"/>
      <c r="L136" s="829" t="s">
        <v>583</v>
      </c>
    </row>
    <row r="137" spans="1:13" ht="35.1" customHeight="1" x14ac:dyDescent="0.2">
      <c r="A137" s="1357" t="s">
        <v>584</v>
      </c>
      <c r="B137" s="825">
        <v>40451</v>
      </c>
      <c r="C137" s="725" t="s">
        <v>585</v>
      </c>
      <c r="D137" s="1166"/>
      <c r="E137" s="1167" t="s">
        <v>6</v>
      </c>
      <c r="F137" s="826"/>
      <c r="G137" s="827"/>
      <c r="H137" s="825">
        <v>40451</v>
      </c>
      <c r="I137" s="306"/>
      <c r="J137" s="828"/>
      <c r="K137" s="304"/>
      <c r="L137" s="829" t="s">
        <v>590</v>
      </c>
    </row>
    <row r="138" spans="1:13" ht="35.1" customHeight="1" x14ac:dyDescent="0.2">
      <c r="A138" s="1357" t="s">
        <v>587</v>
      </c>
      <c r="B138" s="825">
        <v>40036</v>
      </c>
      <c r="C138" s="725" t="s">
        <v>105</v>
      </c>
      <c r="D138" s="1166"/>
      <c r="E138" s="1167" t="s">
        <v>6</v>
      </c>
      <c r="F138" s="826"/>
      <c r="G138" s="827"/>
      <c r="H138" s="825">
        <v>40039</v>
      </c>
      <c r="I138" s="306"/>
      <c r="J138" s="828"/>
      <c r="K138" s="304"/>
      <c r="L138" s="829" t="s">
        <v>588</v>
      </c>
    </row>
    <row r="139" spans="1:13" ht="35.1" customHeight="1" x14ac:dyDescent="0.2">
      <c r="A139" s="1357" t="s">
        <v>592</v>
      </c>
      <c r="B139" s="825">
        <v>40220</v>
      </c>
      <c r="C139" s="725" t="s">
        <v>105</v>
      </c>
      <c r="D139" s="1166"/>
      <c r="E139" s="1167" t="s">
        <v>6</v>
      </c>
      <c r="F139" s="826"/>
      <c r="G139" s="827"/>
      <c r="H139" s="825">
        <v>40220</v>
      </c>
      <c r="I139" s="306"/>
      <c r="J139" s="828"/>
      <c r="K139" s="304"/>
      <c r="L139" s="829" t="s">
        <v>1311</v>
      </c>
    </row>
    <row r="140" spans="1:13" ht="35.1" customHeight="1" x14ac:dyDescent="0.2">
      <c r="A140" s="1357" t="s">
        <v>591</v>
      </c>
      <c r="B140" s="825">
        <v>40184</v>
      </c>
      <c r="C140" s="725" t="s">
        <v>107</v>
      </c>
      <c r="D140" s="1166" t="s">
        <v>108</v>
      </c>
      <c r="E140" s="1167" t="s">
        <v>6</v>
      </c>
      <c r="F140" s="826"/>
      <c r="G140" s="827"/>
      <c r="H140" s="825">
        <v>40214</v>
      </c>
      <c r="I140" s="306"/>
      <c r="J140" s="828"/>
      <c r="K140" s="304"/>
      <c r="L140" s="829" t="s">
        <v>1247</v>
      </c>
    </row>
    <row r="141" spans="1:13" ht="35.1" customHeight="1" x14ac:dyDescent="0.2">
      <c r="A141" s="1357" t="s">
        <v>593</v>
      </c>
      <c r="B141" s="825">
        <v>40182</v>
      </c>
      <c r="C141" s="725" t="s">
        <v>195</v>
      </c>
      <c r="D141" s="1166"/>
      <c r="E141" s="1167" t="s">
        <v>6</v>
      </c>
      <c r="F141" s="826"/>
      <c r="G141" s="827"/>
      <c r="H141" s="825">
        <v>40169</v>
      </c>
      <c r="I141" s="306"/>
      <c r="J141" s="828"/>
      <c r="K141" s="304"/>
      <c r="L141" s="829" t="s">
        <v>586</v>
      </c>
    </row>
    <row r="142" spans="1:13" ht="38.25" customHeight="1" x14ac:dyDescent="0.2">
      <c r="A142" s="1357" t="s">
        <v>594</v>
      </c>
      <c r="B142" s="825">
        <v>40189</v>
      </c>
      <c r="C142" s="725" t="s">
        <v>589</v>
      </c>
      <c r="D142" s="1166"/>
      <c r="E142" s="1167" t="s">
        <v>6</v>
      </c>
      <c r="F142" s="826"/>
      <c r="G142" s="827"/>
      <c r="H142" s="825">
        <v>40189</v>
      </c>
      <c r="I142" s="306"/>
      <c r="J142" s="828"/>
      <c r="K142" s="304"/>
      <c r="L142" s="829" t="s">
        <v>1248</v>
      </c>
    </row>
    <row r="143" spans="1:13" ht="35.1" customHeight="1" x14ac:dyDescent="0.2">
      <c r="A143" s="1357" t="s">
        <v>595</v>
      </c>
      <c r="B143" s="825">
        <v>40199</v>
      </c>
      <c r="C143" s="725" t="s">
        <v>106</v>
      </c>
      <c r="D143" s="1166" t="s">
        <v>687</v>
      </c>
      <c r="E143" s="1167" t="s">
        <v>5</v>
      </c>
      <c r="F143" s="1168">
        <v>30</v>
      </c>
      <c r="G143" s="1169">
        <v>1171.2</v>
      </c>
      <c r="H143" s="825">
        <v>41418</v>
      </c>
      <c r="I143" s="1358" t="s">
        <v>1415</v>
      </c>
      <c r="J143" s="1170">
        <f>G143+30</f>
        <v>1201.2</v>
      </c>
      <c r="K143" s="1171">
        <f>J143-$L$2</f>
        <v>8.7000000000000455</v>
      </c>
      <c r="L143" s="829" t="s">
        <v>1312</v>
      </c>
      <c r="M143" s="1361" t="str">
        <f>IF(K:K&lt;=20,"ALERTA","")</f>
        <v>ALERTA</v>
      </c>
    </row>
    <row r="144" spans="1:13" ht="35.1" customHeight="1" x14ac:dyDescent="0.2">
      <c r="A144" s="1357" t="s">
        <v>596</v>
      </c>
      <c r="B144" s="825">
        <v>40204</v>
      </c>
      <c r="C144" s="725" t="s">
        <v>144</v>
      </c>
      <c r="D144" s="1166" t="s">
        <v>196</v>
      </c>
      <c r="E144" s="1167" t="s">
        <v>6</v>
      </c>
      <c r="F144" s="1427"/>
      <c r="G144" s="1428"/>
      <c r="H144" s="825">
        <v>40204</v>
      </c>
      <c r="I144" s="1358"/>
      <c r="J144" s="1429"/>
      <c r="K144" s="1430"/>
      <c r="L144" s="856" t="s">
        <v>1187</v>
      </c>
    </row>
    <row r="145" spans="1:13" ht="35.1" customHeight="1" x14ac:dyDescent="0.2">
      <c r="A145" s="1357" t="s">
        <v>898</v>
      </c>
      <c r="B145" s="825" t="s">
        <v>899</v>
      </c>
      <c r="C145" s="725" t="s">
        <v>900</v>
      </c>
      <c r="D145" s="1443" t="s">
        <v>901</v>
      </c>
      <c r="E145" s="1167" t="s">
        <v>6</v>
      </c>
      <c r="F145" s="1427"/>
      <c r="G145" s="1428"/>
      <c r="H145" s="825">
        <v>40976</v>
      </c>
      <c r="I145" s="1358"/>
      <c r="J145" s="1429"/>
      <c r="K145" s="1430"/>
      <c r="L145" s="856" t="s">
        <v>1187</v>
      </c>
    </row>
    <row r="146" spans="1:13" ht="35.1" customHeight="1" x14ac:dyDescent="0.2">
      <c r="A146" s="1357" t="s">
        <v>597</v>
      </c>
      <c r="B146" s="825">
        <v>40268</v>
      </c>
      <c r="C146" s="725" t="s">
        <v>598</v>
      </c>
      <c r="D146" s="1166"/>
      <c r="E146" s="1167" t="s">
        <v>6</v>
      </c>
      <c r="F146" s="1426"/>
      <c r="G146" s="1428"/>
      <c r="H146" s="825">
        <v>40268</v>
      </c>
      <c r="I146" s="1358"/>
      <c r="J146" s="1429"/>
      <c r="K146" s="1430"/>
      <c r="L146" s="829" t="s">
        <v>343</v>
      </c>
    </row>
    <row r="147" spans="1:13" ht="35.1" customHeight="1" x14ac:dyDescent="0.2">
      <c r="A147" s="1357" t="s">
        <v>599</v>
      </c>
      <c r="B147" s="825">
        <v>40315</v>
      </c>
      <c r="C147" s="725" t="s">
        <v>103</v>
      </c>
      <c r="D147" s="1166" t="s">
        <v>104</v>
      </c>
      <c r="E147" s="1167" t="s">
        <v>6</v>
      </c>
      <c r="F147" s="1444"/>
      <c r="G147" s="827"/>
      <c r="H147" s="825">
        <v>40315</v>
      </c>
      <c r="I147" s="306"/>
      <c r="J147" s="828"/>
      <c r="K147" s="304"/>
      <c r="L147" s="829" t="s">
        <v>343</v>
      </c>
    </row>
    <row r="148" spans="1:13" ht="35.1" customHeight="1" x14ac:dyDescent="0.2">
      <c r="A148" s="1357" t="s">
        <v>600</v>
      </c>
      <c r="B148" s="825">
        <v>40280</v>
      </c>
      <c r="C148" s="725" t="s">
        <v>601</v>
      </c>
      <c r="D148" s="1166"/>
      <c r="E148" s="1167" t="s">
        <v>6</v>
      </c>
      <c r="F148" s="1444"/>
      <c r="G148" s="827"/>
      <c r="H148" s="825">
        <v>40280</v>
      </c>
      <c r="I148" s="306"/>
      <c r="J148" s="828"/>
      <c r="K148" s="304"/>
      <c r="L148" s="829" t="s">
        <v>343</v>
      </c>
    </row>
    <row r="149" spans="1:13" ht="35.1" customHeight="1" x14ac:dyDescent="0.2">
      <c r="A149" s="1357" t="s">
        <v>604</v>
      </c>
      <c r="B149" s="825">
        <v>40295</v>
      </c>
      <c r="C149" s="725" t="s">
        <v>602</v>
      </c>
      <c r="D149" s="1166" t="s">
        <v>603</v>
      </c>
      <c r="E149" s="1167" t="s">
        <v>6</v>
      </c>
      <c r="F149" s="1444"/>
      <c r="G149" s="827"/>
      <c r="H149" s="825">
        <v>40606</v>
      </c>
      <c r="I149" s="306"/>
      <c r="J149" s="828"/>
      <c r="K149" s="304"/>
      <c r="L149" s="829" t="s">
        <v>1249</v>
      </c>
    </row>
    <row r="150" spans="1:13" ht="35.1" customHeight="1" x14ac:dyDescent="0.2">
      <c r="A150" s="1357" t="s">
        <v>868</v>
      </c>
      <c r="B150" s="825">
        <v>40610</v>
      </c>
      <c r="C150" s="725" t="s">
        <v>866</v>
      </c>
      <c r="D150" s="1166" t="s">
        <v>867</v>
      </c>
      <c r="E150" s="1167" t="s">
        <v>6</v>
      </c>
      <c r="F150" s="1444"/>
      <c r="G150" s="1428"/>
      <c r="H150" s="825"/>
      <c r="I150" s="1433"/>
      <c r="J150" s="1445"/>
      <c r="K150" s="1446"/>
      <c r="L150" s="856" t="s">
        <v>1187</v>
      </c>
    </row>
    <row r="151" spans="1:13" ht="48" customHeight="1" x14ac:dyDescent="0.2">
      <c r="A151" s="1357" t="s">
        <v>861</v>
      </c>
      <c r="B151" s="825">
        <v>40653</v>
      </c>
      <c r="C151" s="725" t="s">
        <v>859</v>
      </c>
      <c r="D151" s="1166" t="s">
        <v>860</v>
      </c>
      <c r="E151" s="1167" t="s">
        <v>5</v>
      </c>
      <c r="F151" s="1172">
        <v>13</v>
      </c>
      <c r="G151" s="1169">
        <v>1171</v>
      </c>
      <c r="H151" s="825">
        <v>41418</v>
      </c>
      <c r="I151" s="306" t="s">
        <v>1415</v>
      </c>
      <c r="J151" s="1173">
        <f>H151+(365+31)</f>
        <v>41814</v>
      </c>
      <c r="K151" s="1174">
        <f>J151-L4</f>
        <v>365</v>
      </c>
      <c r="L151" s="829" t="s">
        <v>1250</v>
      </c>
    </row>
    <row r="152" spans="1:13" ht="35.1" customHeight="1" x14ac:dyDescent="0.2">
      <c r="A152" s="1357" t="s">
        <v>1251</v>
      </c>
      <c r="B152" s="825">
        <v>40683</v>
      </c>
      <c r="C152" s="725" t="s">
        <v>1252</v>
      </c>
      <c r="D152" s="1166"/>
      <c r="E152" s="1167" t="s">
        <v>6</v>
      </c>
      <c r="F152" s="1444"/>
      <c r="G152" s="827"/>
      <c r="H152" s="825">
        <v>40689</v>
      </c>
      <c r="I152" s="306"/>
      <c r="J152" s="828"/>
      <c r="K152" s="304"/>
      <c r="L152" s="829" t="s">
        <v>1457</v>
      </c>
    </row>
    <row r="153" spans="1:13" ht="45.75" customHeight="1" x14ac:dyDescent="0.2">
      <c r="A153" s="1357" t="s">
        <v>870</v>
      </c>
      <c r="B153" s="825">
        <v>40697</v>
      </c>
      <c r="C153" s="725" t="s">
        <v>871</v>
      </c>
      <c r="D153" s="1166" t="s">
        <v>872</v>
      </c>
      <c r="E153" s="1167" t="s">
        <v>6</v>
      </c>
      <c r="F153" s="1444"/>
      <c r="G153" s="827">
        <v>758.05</v>
      </c>
      <c r="H153" s="825">
        <v>40724</v>
      </c>
      <c r="I153" s="306" t="s">
        <v>1254</v>
      </c>
      <c r="J153" s="828"/>
      <c r="K153" s="304"/>
      <c r="L153" s="829" t="s">
        <v>1253</v>
      </c>
    </row>
    <row r="154" spans="1:13" ht="70.5" customHeight="1" x14ac:dyDescent="0.2">
      <c r="A154" s="1357" t="s">
        <v>856</v>
      </c>
      <c r="B154" s="825">
        <v>40704</v>
      </c>
      <c r="C154" s="725" t="s">
        <v>857</v>
      </c>
      <c r="D154" s="1166" t="s">
        <v>858</v>
      </c>
      <c r="E154" s="1167" t="s">
        <v>6</v>
      </c>
      <c r="F154" s="1444"/>
      <c r="G154" s="1169">
        <v>741.25</v>
      </c>
      <c r="H154" s="825">
        <v>40700</v>
      </c>
      <c r="I154" s="306" t="s">
        <v>1256</v>
      </c>
      <c r="J154" s="828"/>
      <c r="K154" s="304"/>
      <c r="L154" s="829" t="s">
        <v>1255</v>
      </c>
    </row>
    <row r="155" spans="1:13" ht="30.2" customHeight="1" x14ac:dyDescent="0.2">
      <c r="A155" s="1357" t="s">
        <v>873</v>
      </c>
      <c r="B155" s="825">
        <v>40800</v>
      </c>
      <c r="C155" s="725" t="s">
        <v>874</v>
      </c>
      <c r="D155" s="1166" t="s">
        <v>875</v>
      </c>
      <c r="E155" s="1167" t="s">
        <v>5</v>
      </c>
      <c r="F155" s="826" t="s">
        <v>876</v>
      </c>
      <c r="G155" s="1169">
        <v>1171</v>
      </c>
      <c r="H155" s="825">
        <v>41418</v>
      </c>
      <c r="I155" s="1358" t="s">
        <v>1415</v>
      </c>
      <c r="J155" s="1170">
        <f>G155+110</f>
        <v>1281</v>
      </c>
      <c r="K155" s="1171">
        <f>J155-L2</f>
        <v>88.5</v>
      </c>
      <c r="L155" s="829" t="s">
        <v>1257</v>
      </c>
      <c r="M155" s="1361" t="str">
        <f>IF(K:K&lt;=30,"ALERTA","")</f>
        <v/>
      </c>
    </row>
    <row r="156" spans="1:13" ht="39.75" customHeight="1" x14ac:dyDescent="0.2">
      <c r="A156" s="1357" t="s">
        <v>1160</v>
      </c>
      <c r="B156" s="825">
        <v>40822</v>
      </c>
      <c r="C156" s="725" t="s">
        <v>1161</v>
      </c>
      <c r="D156" s="1166" t="s">
        <v>1162</v>
      </c>
      <c r="E156" s="1167" t="s">
        <v>6</v>
      </c>
      <c r="F156" s="1444"/>
      <c r="G156" s="1169">
        <v>789.05</v>
      </c>
      <c r="H156" s="825">
        <v>40806</v>
      </c>
      <c r="I156" s="1358" t="s">
        <v>1259</v>
      </c>
      <c r="J156" s="1447"/>
      <c r="K156" s="610"/>
      <c r="L156" s="829" t="s">
        <v>1258</v>
      </c>
      <c r="M156" s="1361"/>
    </row>
    <row r="157" spans="1:13" ht="39.75" customHeight="1" x14ac:dyDescent="0.2">
      <c r="A157" s="1357" t="s">
        <v>1260</v>
      </c>
      <c r="B157" s="825">
        <v>40892</v>
      </c>
      <c r="C157" s="725" t="s">
        <v>1261</v>
      </c>
      <c r="D157" s="1166"/>
      <c r="E157" s="1167" t="s">
        <v>6</v>
      </c>
      <c r="F157" s="1444"/>
      <c r="G157" s="1422"/>
      <c r="H157" s="825">
        <v>40892</v>
      </c>
      <c r="I157" s="1358"/>
      <c r="J157" s="1447"/>
      <c r="K157" s="610"/>
      <c r="L157" s="829" t="s">
        <v>1262</v>
      </c>
      <c r="M157" s="1361"/>
    </row>
    <row r="158" spans="1:13" ht="66.75" customHeight="1" x14ac:dyDescent="0.2">
      <c r="A158" s="1357" t="s">
        <v>1157</v>
      </c>
      <c r="B158" s="825">
        <v>40900</v>
      </c>
      <c r="C158" s="725" t="s">
        <v>1158</v>
      </c>
      <c r="D158" s="1166" t="s">
        <v>1159</v>
      </c>
      <c r="E158" s="1167" t="s">
        <v>6</v>
      </c>
      <c r="F158" s="1444"/>
      <c r="G158" s="1422"/>
      <c r="H158" s="825">
        <v>40900</v>
      </c>
      <c r="I158" s="1358"/>
      <c r="J158" s="1447"/>
      <c r="K158" s="610"/>
      <c r="L158" s="829" t="s">
        <v>1263</v>
      </c>
    </row>
    <row r="159" spans="1:13" ht="30.2" customHeight="1" x14ac:dyDescent="0.2">
      <c r="A159" s="1357" t="s">
        <v>1264</v>
      </c>
      <c r="B159" s="825">
        <v>40940</v>
      </c>
      <c r="C159" s="725" t="s">
        <v>1265</v>
      </c>
      <c r="D159" s="1166"/>
      <c r="E159" s="1167" t="s">
        <v>6</v>
      </c>
      <c r="F159" s="1444"/>
      <c r="G159" s="1422"/>
      <c r="H159" s="825">
        <v>40940</v>
      </c>
      <c r="I159" s="1358"/>
      <c r="J159" s="1447"/>
      <c r="K159" s="610"/>
      <c r="L159" s="856" t="s">
        <v>1187</v>
      </c>
    </row>
    <row r="160" spans="1:13" ht="20.25" customHeight="1" x14ac:dyDescent="0.2">
      <c r="A160" s="1726" t="s">
        <v>1394</v>
      </c>
      <c r="B160" s="1728">
        <v>41197</v>
      </c>
      <c r="C160" s="1730" t="s">
        <v>1395</v>
      </c>
      <c r="D160" s="1732" t="s">
        <v>1396</v>
      </c>
      <c r="E160" s="1734" t="s">
        <v>6</v>
      </c>
      <c r="F160" s="1448"/>
      <c r="G160" s="1720">
        <v>1138.5999999999999</v>
      </c>
      <c r="H160" s="1722">
        <v>41350</v>
      </c>
      <c r="I160" s="1736" t="s">
        <v>1410</v>
      </c>
      <c r="J160" s="1449"/>
      <c r="K160" s="1450"/>
      <c r="L160" s="1724" t="s">
        <v>1420</v>
      </c>
    </row>
    <row r="161" spans="1:12" ht="20.25" customHeight="1" x14ac:dyDescent="0.2">
      <c r="A161" s="1727"/>
      <c r="B161" s="1729"/>
      <c r="C161" s="1731"/>
      <c r="D161" s="1733"/>
      <c r="E161" s="1735"/>
      <c r="F161" s="1451"/>
      <c r="G161" s="1721"/>
      <c r="H161" s="1723"/>
      <c r="I161" s="1737"/>
      <c r="J161" s="1452"/>
      <c r="K161" s="1453"/>
      <c r="L161" s="1725"/>
    </row>
    <row r="162" spans="1:12" ht="38.25" x14ac:dyDescent="0.2">
      <c r="A162" s="1357" t="s">
        <v>1398</v>
      </c>
      <c r="B162" s="1454">
        <v>41248</v>
      </c>
      <c r="C162" s="616" t="s">
        <v>1399</v>
      </c>
      <c r="D162" s="1166" t="s">
        <v>1400</v>
      </c>
      <c r="E162" s="1167" t="s">
        <v>5</v>
      </c>
      <c r="F162" s="1444" t="s">
        <v>1401</v>
      </c>
      <c r="G162" s="1455"/>
      <c r="H162" s="1456"/>
      <c r="I162" s="1358"/>
      <c r="J162" s="1457"/>
      <c r="K162" s="1359"/>
      <c r="L162" s="1458" t="s">
        <v>1402</v>
      </c>
    </row>
    <row r="163" spans="1:12" ht="30.2" customHeight="1" x14ac:dyDescent="0.2">
      <c r="A163" s="1357" t="s">
        <v>1416</v>
      </c>
      <c r="B163" s="1454">
        <v>41382</v>
      </c>
      <c r="C163" s="616" t="s">
        <v>1417</v>
      </c>
      <c r="D163" s="1166" t="s">
        <v>1418</v>
      </c>
      <c r="E163" s="1167" t="s">
        <v>6</v>
      </c>
      <c r="F163" s="1444"/>
      <c r="G163" s="1455"/>
      <c r="H163" s="1456"/>
      <c r="I163" s="1358"/>
      <c r="J163" s="1457"/>
      <c r="K163" s="1359"/>
      <c r="L163" s="1458" t="s">
        <v>1419</v>
      </c>
    </row>
    <row r="164" spans="1:12" ht="30.2" customHeight="1" x14ac:dyDescent="0.2">
      <c r="A164" s="1357" t="s">
        <v>1449</v>
      </c>
      <c r="B164" s="1454">
        <v>37253</v>
      </c>
      <c r="C164" s="616" t="s">
        <v>1451</v>
      </c>
      <c r="D164" s="1166" t="s">
        <v>1452</v>
      </c>
      <c r="E164" s="1167" t="s">
        <v>6</v>
      </c>
      <c r="F164" s="1444"/>
      <c r="G164" s="1455"/>
      <c r="H164" s="1456"/>
      <c r="I164" s="1358"/>
      <c r="J164" s="1457"/>
      <c r="K164" s="1359"/>
      <c r="L164" s="1458" t="s">
        <v>1456</v>
      </c>
    </row>
    <row r="165" spans="1:12" ht="30.2" customHeight="1" x14ac:dyDescent="0.2">
      <c r="A165" s="1357" t="s">
        <v>1450</v>
      </c>
      <c r="B165" s="1454">
        <v>38406</v>
      </c>
      <c r="C165" s="616" t="s">
        <v>1453</v>
      </c>
      <c r="D165" s="1166" t="s">
        <v>1454</v>
      </c>
      <c r="E165" s="1167" t="s">
        <v>6</v>
      </c>
      <c r="F165" s="1444"/>
      <c r="G165" s="1455"/>
      <c r="H165" s="1456"/>
      <c r="I165" s="1358"/>
      <c r="J165" s="1457"/>
      <c r="K165" s="1359"/>
      <c r="L165" s="1458" t="s">
        <v>1455</v>
      </c>
    </row>
    <row r="166" spans="1:12" ht="30.2" customHeight="1" x14ac:dyDescent="0.2">
      <c r="A166" s="1357" t="s">
        <v>1459</v>
      </c>
      <c r="B166" s="1454">
        <v>41460</v>
      </c>
      <c r="C166" s="616" t="s">
        <v>1460</v>
      </c>
      <c r="D166" s="1166" t="s">
        <v>1461</v>
      </c>
      <c r="E166" s="1167" t="s">
        <v>5</v>
      </c>
      <c r="F166" s="1444"/>
      <c r="G166" s="1455"/>
      <c r="H166" s="1456"/>
      <c r="I166" s="1358"/>
      <c r="J166" s="1457"/>
      <c r="K166" s="1359"/>
      <c r="L166" s="1458" t="s">
        <v>1462</v>
      </c>
    </row>
    <row r="167" spans="1:12" ht="30.2" customHeight="1" x14ac:dyDescent="0.2">
      <c r="A167" s="227"/>
      <c r="B167" s="227"/>
      <c r="C167" s="227"/>
      <c r="D167" s="227"/>
      <c r="E167" s="227"/>
      <c r="F167" s="227"/>
      <c r="G167" s="227"/>
      <c r="H167" s="227"/>
      <c r="I167" s="227"/>
      <c r="J167" s="227"/>
      <c r="K167" s="227"/>
      <c r="L167" s="227"/>
    </row>
    <row r="168" spans="1:12" ht="30.2" customHeight="1" x14ac:dyDescent="0.2">
      <c r="A168" s="227"/>
      <c r="B168" s="227"/>
      <c r="C168" s="227"/>
      <c r="D168" s="227"/>
      <c r="E168" s="227"/>
      <c r="F168" s="227"/>
      <c r="G168" s="227"/>
      <c r="H168" s="227"/>
      <c r="I168" s="227"/>
      <c r="J168" s="227"/>
      <c r="K168" s="227"/>
      <c r="L168" s="227"/>
    </row>
    <row r="169" spans="1:12" ht="30.2" customHeight="1" x14ac:dyDescent="0.2">
      <c r="A169" s="227"/>
      <c r="B169" s="227"/>
      <c r="C169" s="227"/>
      <c r="D169" s="227"/>
      <c r="E169" s="227"/>
      <c r="F169" s="227"/>
      <c r="G169" s="227"/>
      <c r="H169" s="227"/>
      <c r="I169" s="227"/>
      <c r="J169" s="227"/>
      <c r="K169" s="227"/>
      <c r="L169" s="227"/>
    </row>
    <row r="170" spans="1:12" ht="30.2" customHeight="1" x14ac:dyDescent="0.2">
      <c r="A170" s="227"/>
      <c r="B170" s="227"/>
      <c r="C170" s="227"/>
      <c r="D170" s="227"/>
      <c r="E170" s="227"/>
      <c r="F170" s="227"/>
      <c r="G170" s="227"/>
      <c r="H170" s="227"/>
      <c r="I170" s="227"/>
      <c r="J170" s="227"/>
      <c r="K170" s="227"/>
      <c r="L170" s="227"/>
    </row>
    <row r="171" spans="1:12" ht="30.2" customHeight="1" x14ac:dyDescent="0.2">
      <c r="A171" s="227"/>
      <c r="B171" s="227"/>
      <c r="C171" s="227"/>
      <c r="D171" s="227"/>
      <c r="E171" s="227"/>
      <c r="F171" s="227"/>
      <c r="G171" s="227"/>
      <c r="H171" s="227"/>
      <c r="I171" s="227"/>
      <c r="J171" s="227"/>
      <c r="K171" s="227"/>
      <c r="L171" s="227"/>
    </row>
    <row r="172" spans="1:12" ht="30.2" customHeight="1" x14ac:dyDescent="0.2">
      <c r="A172" s="227"/>
      <c r="B172" s="227"/>
      <c r="C172" s="227"/>
      <c r="D172" s="227"/>
      <c r="E172" s="227"/>
      <c r="F172" s="227"/>
      <c r="G172" s="227"/>
      <c r="H172" s="227"/>
      <c r="I172" s="227"/>
      <c r="J172" s="227"/>
      <c r="K172" s="227"/>
      <c r="L172" s="227"/>
    </row>
    <row r="173" spans="1:12" ht="30.2" customHeight="1" x14ac:dyDescent="0.2">
      <c r="A173" s="227"/>
      <c r="B173" s="227"/>
      <c r="C173" s="227"/>
      <c r="D173" s="227"/>
      <c r="E173" s="227"/>
      <c r="F173" s="227"/>
      <c r="G173" s="227"/>
      <c r="H173" s="227"/>
      <c r="I173" s="227"/>
      <c r="J173" s="227"/>
      <c r="K173" s="227"/>
      <c r="L173" s="227"/>
    </row>
    <row r="174" spans="1:12" ht="30.2" customHeight="1" x14ac:dyDescent="0.2">
      <c r="A174" s="227"/>
      <c r="B174" s="227"/>
      <c r="C174" s="227"/>
      <c r="D174" s="227"/>
      <c r="E174" s="227"/>
      <c r="F174" s="227"/>
      <c r="G174" s="227"/>
      <c r="H174" s="227"/>
      <c r="I174" s="227"/>
      <c r="J174" s="227"/>
      <c r="K174" s="227"/>
      <c r="L174" s="227"/>
    </row>
    <row r="175" spans="1:12" ht="30.2" customHeight="1" x14ac:dyDescent="0.2">
      <c r="A175" s="227"/>
      <c r="B175" s="227"/>
      <c r="C175" s="227"/>
      <c r="D175" s="227"/>
      <c r="E175" s="227"/>
      <c r="F175" s="227"/>
      <c r="G175" s="227"/>
      <c r="H175" s="227"/>
      <c r="I175" s="227"/>
      <c r="J175" s="227"/>
      <c r="K175" s="227"/>
      <c r="L175" s="227"/>
    </row>
    <row r="176" spans="1:12" ht="30.2" customHeight="1" x14ac:dyDescent="0.2">
      <c r="A176" s="227"/>
      <c r="B176" s="227"/>
      <c r="C176" s="227"/>
      <c r="D176" s="227"/>
      <c r="E176" s="227"/>
      <c r="F176" s="227"/>
      <c r="G176" s="227"/>
      <c r="H176" s="227"/>
      <c r="I176" s="227"/>
      <c r="J176" s="227"/>
      <c r="K176" s="227"/>
      <c r="L176" s="227"/>
    </row>
    <row r="177" spans="1:12" ht="30.2" customHeight="1" x14ac:dyDescent="0.2">
      <c r="A177" s="227"/>
      <c r="B177" s="227"/>
      <c r="C177" s="227"/>
      <c r="D177" s="227"/>
      <c r="E177" s="227"/>
      <c r="F177" s="227"/>
      <c r="G177" s="227"/>
      <c r="H177" s="227"/>
      <c r="I177" s="227"/>
      <c r="J177" s="227"/>
      <c r="K177" s="227"/>
      <c r="L177" s="227"/>
    </row>
    <row r="178" spans="1:12" ht="30.2" customHeight="1" x14ac:dyDescent="0.2">
      <c r="A178" s="227"/>
      <c r="B178" s="227"/>
      <c r="C178" s="227"/>
      <c r="D178" s="227"/>
      <c r="E178" s="227"/>
      <c r="F178" s="227"/>
      <c r="G178" s="227"/>
      <c r="H178" s="227"/>
      <c r="I178" s="227"/>
      <c r="J178" s="227"/>
      <c r="K178" s="227"/>
      <c r="L178" s="227"/>
    </row>
    <row r="179" spans="1:12" ht="30.2" customHeight="1" x14ac:dyDescent="0.2">
      <c r="A179" s="227"/>
      <c r="B179" s="227"/>
      <c r="C179" s="227"/>
      <c r="D179" s="227"/>
      <c r="E179" s="227"/>
      <c r="F179" s="227"/>
      <c r="G179" s="227"/>
      <c r="H179" s="227"/>
      <c r="I179" s="227"/>
      <c r="J179" s="227"/>
      <c r="K179" s="227"/>
      <c r="L179" s="227"/>
    </row>
    <row r="180" spans="1:12" ht="30.2" customHeight="1" x14ac:dyDescent="0.2">
      <c r="A180" s="227"/>
      <c r="B180" s="227"/>
      <c r="C180" s="227"/>
      <c r="D180" s="227"/>
      <c r="E180" s="227"/>
      <c r="F180" s="227"/>
      <c r="G180" s="227"/>
      <c r="H180" s="227"/>
      <c r="I180" s="227"/>
      <c r="J180" s="227"/>
      <c r="K180" s="227"/>
      <c r="L180" s="227"/>
    </row>
    <row r="181" spans="1:12" ht="30.2" customHeight="1" x14ac:dyDescent="0.2">
      <c r="A181" s="227"/>
      <c r="B181" s="227"/>
      <c r="C181" s="227"/>
      <c r="D181" s="227"/>
      <c r="E181" s="227"/>
      <c r="F181" s="227"/>
      <c r="G181" s="227"/>
      <c r="H181" s="227"/>
      <c r="I181" s="227"/>
      <c r="J181" s="227"/>
      <c r="K181" s="227"/>
      <c r="L181" s="227"/>
    </row>
    <row r="182" spans="1:12" ht="30.2" customHeight="1" x14ac:dyDescent="0.2">
      <c r="A182" s="227"/>
      <c r="B182" s="227"/>
      <c r="C182" s="227"/>
      <c r="D182" s="227"/>
      <c r="E182" s="227"/>
      <c r="F182" s="227"/>
      <c r="G182" s="227"/>
      <c r="H182" s="227"/>
      <c r="I182" s="227"/>
      <c r="J182" s="227"/>
      <c r="K182" s="227"/>
      <c r="L182" s="227"/>
    </row>
    <row r="183" spans="1:12" ht="30.2" customHeight="1" x14ac:dyDescent="0.2">
      <c r="A183" s="227"/>
      <c r="B183" s="227"/>
      <c r="C183" s="227"/>
      <c r="D183" s="227"/>
      <c r="E183" s="227"/>
      <c r="F183" s="227"/>
      <c r="G183" s="227"/>
      <c r="H183" s="227"/>
      <c r="I183" s="227"/>
      <c r="J183" s="227"/>
      <c r="K183" s="227"/>
      <c r="L183" s="227"/>
    </row>
    <row r="184" spans="1:12" ht="30.2" customHeight="1" x14ac:dyDescent="0.2">
      <c r="A184" s="227"/>
      <c r="B184" s="227"/>
      <c r="C184" s="227"/>
      <c r="D184" s="227"/>
      <c r="E184" s="227"/>
      <c r="F184" s="227"/>
      <c r="G184" s="227"/>
      <c r="H184" s="227"/>
      <c r="I184" s="227"/>
      <c r="J184" s="227"/>
      <c r="K184" s="227"/>
      <c r="L184" s="227"/>
    </row>
    <row r="185" spans="1:12" ht="30.2" customHeight="1" x14ac:dyDescent="0.2">
      <c r="A185" s="227"/>
      <c r="B185" s="227"/>
      <c r="C185" s="227"/>
      <c r="D185" s="227"/>
      <c r="E185" s="227"/>
      <c r="F185" s="227"/>
      <c r="G185" s="227"/>
      <c r="H185" s="227"/>
      <c r="I185" s="227"/>
      <c r="J185" s="227"/>
      <c r="K185" s="227"/>
      <c r="L185" s="227"/>
    </row>
    <row r="186" spans="1:12" ht="30.2" customHeight="1" x14ac:dyDescent="0.2">
      <c r="A186" s="227"/>
      <c r="B186" s="227"/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</row>
    <row r="187" spans="1:12" ht="30.2" customHeight="1" x14ac:dyDescent="0.2">
      <c r="A187" s="227"/>
      <c r="B187" s="227"/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</row>
    <row r="188" spans="1:12" ht="30.2" customHeight="1" x14ac:dyDescent="0.2">
      <c r="A188" s="227"/>
      <c r="B188" s="227"/>
      <c r="C188" s="227"/>
      <c r="D188" s="227"/>
      <c r="E188" s="227"/>
      <c r="F188" s="227"/>
      <c r="G188" s="227"/>
      <c r="H188" s="227"/>
      <c r="I188" s="227"/>
      <c r="J188" s="227"/>
      <c r="K188" s="227"/>
      <c r="L188" s="227"/>
    </row>
    <row r="189" spans="1:12" ht="30.2" customHeight="1" x14ac:dyDescent="0.2">
      <c r="A189" s="227"/>
      <c r="B189" s="227"/>
      <c r="C189" s="227"/>
      <c r="D189" s="227"/>
      <c r="E189" s="227"/>
      <c r="F189" s="227"/>
      <c r="G189" s="227"/>
      <c r="H189" s="227"/>
      <c r="I189" s="227"/>
      <c r="J189" s="227"/>
      <c r="K189" s="227"/>
      <c r="L189" s="227"/>
    </row>
    <row r="190" spans="1:12" ht="30.2" customHeight="1" x14ac:dyDescent="0.2">
      <c r="A190" s="227"/>
      <c r="B190" s="227"/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</row>
    <row r="191" spans="1:12" ht="30.2" customHeight="1" x14ac:dyDescent="0.2">
      <c r="A191" s="227"/>
      <c r="B191" s="227"/>
      <c r="C191" s="227"/>
      <c r="D191" s="227"/>
      <c r="E191" s="227"/>
      <c r="F191" s="227"/>
      <c r="G191" s="227"/>
      <c r="H191" s="227"/>
      <c r="I191" s="227"/>
      <c r="J191" s="227"/>
      <c r="K191" s="227"/>
      <c r="L191" s="227"/>
    </row>
    <row r="192" spans="1:12" ht="30.2" customHeight="1" x14ac:dyDescent="0.2">
      <c r="A192" s="227"/>
      <c r="B192" s="227"/>
      <c r="C192" s="227"/>
      <c r="D192" s="227"/>
      <c r="E192" s="227"/>
      <c r="F192" s="227"/>
      <c r="G192" s="227"/>
      <c r="H192" s="227"/>
      <c r="I192" s="227"/>
      <c r="J192" s="227"/>
      <c r="K192" s="227"/>
      <c r="L192" s="227"/>
    </row>
    <row r="193" spans="1:12" ht="30.2" customHeight="1" x14ac:dyDescent="0.2">
      <c r="A193" s="227"/>
      <c r="B193" s="227"/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</row>
    <row r="194" spans="1:12" ht="30.2" customHeight="1" x14ac:dyDescent="0.2">
      <c r="A194" s="227"/>
      <c r="B194" s="227"/>
      <c r="C194" s="227"/>
      <c r="D194" s="227"/>
      <c r="E194" s="227"/>
      <c r="F194" s="227"/>
      <c r="G194" s="227"/>
      <c r="H194" s="227"/>
      <c r="I194" s="227"/>
      <c r="J194" s="227"/>
      <c r="K194" s="227"/>
      <c r="L194" s="227"/>
    </row>
    <row r="195" spans="1:12" ht="30.2" customHeight="1" x14ac:dyDescent="0.2">
      <c r="A195" s="227"/>
      <c r="B195" s="227"/>
      <c r="C195" s="227"/>
      <c r="D195" s="227"/>
      <c r="E195" s="227"/>
      <c r="F195" s="227"/>
      <c r="G195" s="227"/>
      <c r="H195" s="227"/>
      <c r="I195" s="227"/>
      <c r="J195" s="227"/>
      <c r="K195" s="227"/>
      <c r="L195" s="227"/>
    </row>
    <row r="196" spans="1:12" ht="30.2" customHeight="1" x14ac:dyDescent="0.2">
      <c r="A196" s="227"/>
      <c r="B196" s="227"/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</row>
    <row r="197" spans="1:12" ht="30.2" customHeight="1" x14ac:dyDescent="0.2">
      <c r="A197" s="227"/>
      <c r="B197" s="227"/>
      <c r="C197" s="227"/>
      <c r="D197" s="227"/>
      <c r="E197" s="227"/>
      <c r="F197" s="227"/>
      <c r="G197" s="227"/>
      <c r="H197" s="227"/>
      <c r="I197" s="227"/>
      <c r="J197" s="227"/>
      <c r="K197" s="227"/>
      <c r="L197" s="227"/>
    </row>
    <row r="198" spans="1:12" ht="30.2" customHeight="1" x14ac:dyDescent="0.2">
      <c r="A198" s="227"/>
      <c r="B198" s="227"/>
      <c r="C198" s="227"/>
      <c r="D198" s="227"/>
      <c r="E198" s="227"/>
      <c r="F198" s="227"/>
      <c r="G198" s="227"/>
      <c r="H198" s="227"/>
      <c r="I198" s="227"/>
      <c r="J198" s="227"/>
      <c r="K198" s="227"/>
      <c r="L198" s="227"/>
    </row>
    <row r="199" spans="1:12" ht="30.2" customHeight="1" x14ac:dyDescent="0.2">
      <c r="A199" s="227"/>
      <c r="B199" s="227"/>
      <c r="C199" s="227"/>
      <c r="D199" s="227"/>
      <c r="E199" s="227"/>
      <c r="F199" s="227"/>
      <c r="G199" s="227"/>
      <c r="H199" s="227"/>
      <c r="I199" s="227"/>
      <c r="J199" s="227"/>
      <c r="K199" s="227"/>
      <c r="L199" s="227"/>
    </row>
    <row r="200" spans="1:12" ht="30.2" customHeight="1" x14ac:dyDescent="0.2">
      <c r="A200" s="227"/>
      <c r="B200" s="227"/>
      <c r="C200" s="227"/>
      <c r="D200" s="227"/>
      <c r="E200" s="227"/>
      <c r="F200" s="227"/>
      <c r="G200" s="227"/>
      <c r="H200" s="227"/>
      <c r="I200" s="227"/>
      <c r="J200" s="227"/>
      <c r="K200" s="227"/>
      <c r="L200" s="227"/>
    </row>
    <row r="201" spans="1:12" ht="30.2" customHeight="1" x14ac:dyDescent="0.2">
      <c r="A201" s="227"/>
      <c r="B201" s="227"/>
      <c r="C201" s="227"/>
      <c r="D201" s="227"/>
      <c r="E201" s="227"/>
      <c r="F201" s="227"/>
      <c r="G201" s="227"/>
      <c r="H201" s="227"/>
      <c r="I201" s="227"/>
      <c r="J201" s="227"/>
      <c r="K201" s="227"/>
      <c r="L201" s="227"/>
    </row>
    <row r="202" spans="1:12" ht="30.2" customHeight="1" x14ac:dyDescent="0.2">
      <c r="A202" s="227"/>
      <c r="B202" s="227"/>
      <c r="C202" s="227"/>
      <c r="D202" s="227"/>
      <c r="E202" s="227"/>
      <c r="F202" s="227"/>
      <c r="G202" s="227"/>
      <c r="H202" s="227"/>
      <c r="I202" s="227"/>
      <c r="J202" s="227"/>
      <c r="K202" s="227"/>
      <c r="L202" s="227"/>
    </row>
    <row r="203" spans="1:12" ht="30.2" customHeight="1" x14ac:dyDescent="0.2">
      <c r="A203" s="227"/>
      <c r="B203" s="227"/>
      <c r="C203" s="227"/>
      <c r="D203" s="227"/>
      <c r="E203" s="227"/>
      <c r="F203" s="227"/>
      <c r="G203" s="227"/>
      <c r="H203" s="227"/>
      <c r="I203" s="227"/>
      <c r="J203" s="227"/>
      <c r="K203" s="227"/>
      <c r="L203" s="227"/>
    </row>
    <row r="204" spans="1:12" s="56" customFormat="1" ht="30.2" customHeight="1" x14ac:dyDescent="0.2">
      <c r="A204" s="234"/>
      <c r="B204" s="1362"/>
      <c r="D204" s="1459"/>
      <c r="E204" s="1360"/>
      <c r="F204" s="1361"/>
      <c r="G204" s="1460"/>
      <c r="H204" s="1362"/>
      <c r="I204" s="1461"/>
      <c r="J204" s="1459"/>
      <c r="K204" s="1462"/>
      <c r="L204" s="1461"/>
    </row>
    <row r="205" spans="1:12" s="56" customFormat="1" ht="30.2" customHeight="1" x14ac:dyDescent="0.2">
      <c r="A205" s="234"/>
      <c r="B205" s="1362"/>
      <c r="D205" s="1459"/>
      <c r="E205" s="1360"/>
      <c r="F205" s="1361"/>
      <c r="G205" s="1460"/>
      <c r="H205" s="1362"/>
      <c r="I205" s="1461"/>
      <c r="J205" s="1459"/>
      <c r="K205" s="1462"/>
      <c r="L205" s="1461"/>
    </row>
    <row r="206" spans="1:12" s="56" customFormat="1" ht="13.7" customHeight="1" x14ac:dyDescent="0.2">
      <c r="A206" s="234"/>
      <c r="B206" s="1362"/>
      <c r="D206" s="1459"/>
      <c r="E206" s="1360"/>
      <c r="F206" s="1361"/>
      <c r="G206" s="1460"/>
      <c r="H206" s="1362"/>
      <c r="I206" s="1461"/>
      <c r="J206" s="1459"/>
      <c r="K206" s="1459"/>
      <c r="L206" s="1461"/>
    </row>
    <row r="207" spans="1:12" s="56" customFormat="1" ht="13.7" customHeight="1" x14ac:dyDescent="0.2">
      <c r="A207" s="234"/>
      <c r="B207" s="1362"/>
      <c r="D207" s="1459"/>
      <c r="E207" s="1360"/>
      <c r="F207" s="1361"/>
      <c r="G207" s="1460"/>
      <c r="H207" s="1362"/>
      <c r="I207" s="1461"/>
      <c r="J207" s="1459"/>
      <c r="K207" s="1459"/>
      <c r="L207" s="1461"/>
    </row>
    <row r="208" spans="1:12" s="56" customFormat="1" ht="13.7" customHeight="1" x14ac:dyDescent="0.2">
      <c r="A208" s="234"/>
      <c r="B208" s="1362"/>
      <c r="C208" s="1463"/>
      <c r="D208" s="1459"/>
      <c r="E208" s="1360"/>
      <c r="F208" s="1361"/>
      <c r="G208" s="1460"/>
      <c r="H208" s="1362"/>
      <c r="I208" s="1461"/>
      <c r="J208" s="1459"/>
      <c r="K208" s="1459"/>
      <c r="L208" s="1461"/>
    </row>
    <row r="209" spans="1:12" s="56" customFormat="1" ht="13.7" customHeight="1" x14ac:dyDescent="0.2">
      <c r="A209" s="234"/>
      <c r="B209" s="1362"/>
      <c r="C209" s="1463"/>
      <c r="D209" s="1459"/>
      <c r="E209" s="1360"/>
      <c r="F209" s="1361"/>
      <c r="G209" s="1460"/>
      <c r="H209" s="1362"/>
      <c r="I209" s="1461"/>
      <c r="J209" s="1459"/>
      <c r="K209" s="1459"/>
      <c r="L209" s="1461"/>
    </row>
    <row r="210" spans="1:12" ht="13.7" customHeight="1" x14ac:dyDescent="0.2">
      <c r="F210" s="1398"/>
    </row>
    <row r="211" spans="1:12" ht="13.7" customHeight="1" x14ac:dyDescent="0.2">
      <c r="F211" s="1398"/>
    </row>
    <row r="212" spans="1:12" ht="13.7" hidden="1" customHeight="1" x14ac:dyDescent="0.2">
      <c r="F212" s="1398"/>
    </row>
    <row r="213" spans="1:12" ht="13.7" hidden="1" customHeight="1" x14ac:dyDescent="0.2"/>
    <row r="214" spans="1:12" ht="13.7" hidden="1" customHeight="1" x14ac:dyDescent="0.2"/>
  </sheetData>
  <autoFilter ref="A8:L162"/>
  <mergeCells count="16">
    <mergeCell ref="G160:G161"/>
    <mergeCell ref="H160:H161"/>
    <mergeCell ref="L160:L161"/>
    <mergeCell ref="A160:A161"/>
    <mergeCell ref="B160:B161"/>
    <mergeCell ref="C160:C161"/>
    <mergeCell ref="D160:D161"/>
    <mergeCell ref="E160:E161"/>
    <mergeCell ref="I160:I161"/>
    <mergeCell ref="G6:I6"/>
    <mergeCell ref="F6:F7"/>
    <mergeCell ref="B6:B7"/>
    <mergeCell ref="A6:A7"/>
    <mergeCell ref="C6:C7"/>
    <mergeCell ref="D6:D7"/>
    <mergeCell ref="E6:E7"/>
  </mergeCells>
  <phoneticPr fontId="2" type="noConversion"/>
  <conditionalFormatting sqref="M1:M1048576">
    <cfRule type="containsText" dxfId="5" priority="3" stopIfTrue="1" operator="containsText" text="ALERTA">
      <formula>NOT(ISERROR(SEARCH("ALERTA",M1)))</formula>
    </cfRule>
  </conditionalFormatting>
  <conditionalFormatting sqref="M160:M161">
    <cfRule type="containsText" dxfId="4" priority="1" stopIfTrue="1" operator="containsText" text="ALERTA">
      <formula>NOT(ISERROR(SEARCH("ALERTA",M160)))</formula>
    </cfRule>
  </conditionalFormatting>
  <printOptions horizontalCentered="1"/>
  <pageMargins left="0.25" right="0" top="0.98425196850393704" bottom="0.59055118110236204" header="0" footer="0.196850393700787"/>
  <pageSetup scale="73" fitToHeight="18" orientation="landscape" r:id="rId1"/>
  <headerFooter alignWithMargins="0">
    <oddHeader xml:space="preserve">&amp;L&amp;G&amp;C
&amp;"Arial,Negrita"&amp;16Aircraft Airworthiness Directives Status AS355 NP - EASA + DGAC-F&amp;R
</oddHeader>
    <oddFooter>&amp;LPrinted: &amp;D&amp;CPágina &amp;P de &amp;N&amp;RINAER HELICOPTER CHILE S.A.
INGENIERIA Y CONTROL</oddFooter>
  </headerFooter>
  <rowBreaks count="1" manualBreakCount="1">
    <brk id="150" max="11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workbookViewId="0">
      <pane ySplit="8" topLeftCell="A9" activePane="bottomLeft" state="frozen"/>
      <selection pane="bottomLeft" activeCell="A11" sqref="A11"/>
    </sheetView>
  </sheetViews>
  <sheetFormatPr defaultColWidth="11.42578125" defaultRowHeight="13.7" customHeight="1" x14ac:dyDescent="0.2"/>
  <cols>
    <col min="1" max="1" width="13.140625" style="285" bestFit="1" customWidth="1"/>
    <col min="2" max="2" width="9.5703125" style="286" customWidth="1"/>
    <col min="3" max="3" width="32.28515625" style="287" customWidth="1"/>
    <col min="4" max="4" width="12" style="254" customWidth="1"/>
    <col min="5" max="5" width="6.7109375" style="288" customWidth="1"/>
    <col min="6" max="6" width="9.7109375" style="291" bestFit="1" customWidth="1"/>
    <col min="7" max="7" width="10" style="289" bestFit="1" customWidth="1"/>
    <col min="8" max="8" width="9" style="286" customWidth="1"/>
    <col min="9" max="9" width="12.42578125" style="290" customWidth="1"/>
    <col min="10" max="10" width="12.42578125" style="254" bestFit="1" customWidth="1"/>
    <col min="11" max="11" width="10.7109375" style="254" customWidth="1"/>
    <col min="12" max="12" width="28.7109375" style="290" customWidth="1"/>
    <col min="13" max="13" width="8.28515625" style="249" customWidth="1"/>
    <col min="14" max="16384" width="11.42578125" style="249"/>
  </cols>
  <sheetData>
    <row r="1" spans="1:12" ht="5.25" customHeight="1" x14ac:dyDescent="0.2">
      <c r="A1" s="246"/>
      <c r="B1" s="247"/>
      <c r="C1" s="246"/>
      <c r="D1" s="246"/>
      <c r="E1" s="246"/>
      <c r="F1" s="248"/>
      <c r="G1" s="248"/>
      <c r="H1" s="247"/>
      <c r="I1" s="246"/>
      <c r="J1" s="246"/>
      <c r="K1" s="246"/>
      <c r="L1" s="246"/>
    </row>
    <row r="2" spans="1:12" ht="15" customHeight="1" x14ac:dyDescent="0.2">
      <c r="A2" s="493" t="s">
        <v>218</v>
      </c>
      <c r="B2" s="515" t="str">
        <f>Id!B16</f>
        <v>ARRIUS 1A1</v>
      </c>
      <c r="C2" s="502"/>
      <c r="D2" s="496"/>
      <c r="E2" s="496"/>
      <c r="F2" s="503"/>
      <c r="G2" s="503"/>
      <c r="H2" s="504"/>
      <c r="I2" s="496"/>
      <c r="J2" s="496"/>
      <c r="K2" s="497" t="s">
        <v>198</v>
      </c>
      <c r="L2" s="505">
        <f>Id!B20</f>
        <v>1192.5</v>
      </c>
    </row>
    <row r="3" spans="1:12" ht="15" customHeight="1" x14ac:dyDescent="0.2">
      <c r="A3" s="494" t="s">
        <v>215</v>
      </c>
      <c r="B3" s="805">
        <f>Id!B18</f>
        <v>3005</v>
      </c>
      <c r="C3" s="506"/>
      <c r="D3" s="498"/>
      <c r="E3" s="498"/>
      <c r="F3" s="507"/>
      <c r="G3" s="507"/>
      <c r="H3" s="508"/>
      <c r="I3" s="498"/>
      <c r="J3" s="498"/>
      <c r="K3" s="499" t="s">
        <v>224</v>
      </c>
      <c r="L3" s="509">
        <f>Id!B22</f>
        <v>904.85</v>
      </c>
    </row>
    <row r="4" spans="1:12" ht="15" customHeight="1" x14ac:dyDescent="0.2">
      <c r="A4" s="495" t="s">
        <v>223</v>
      </c>
      <c r="B4" s="516" t="s">
        <v>217</v>
      </c>
      <c r="C4" s="511"/>
      <c r="D4" s="1744"/>
      <c r="E4" s="1744"/>
      <c r="F4" s="1744"/>
      <c r="G4" s="1744"/>
      <c r="H4" s="513"/>
      <c r="I4" s="500"/>
      <c r="J4" s="500"/>
      <c r="K4" s="501" t="s">
        <v>95</v>
      </c>
      <c r="L4" s="514">
        <f>Id!E3</f>
        <v>41449</v>
      </c>
    </row>
    <row r="5" spans="1:12" ht="10.5" customHeight="1" thickBot="1" x14ac:dyDescent="0.25">
      <c r="A5" s="250"/>
      <c r="B5" s="247"/>
      <c r="C5" s="250"/>
      <c r="D5" s="251"/>
      <c r="E5" s="250"/>
      <c r="F5" s="248"/>
      <c r="G5" s="252"/>
      <c r="H5" s="247"/>
      <c r="I5" s="253"/>
      <c r="K5" s="255"/>
      <c r="L5" s="249"/>
    </row>
    <row r="6" spans="1:12" s="256" customFormat="1" ht="13.7" customHeight="1" x14ac:dyDescent="0.2">
      <c r="A6" s="1738" t="s">
        <v>12</v>
      </c>
      <c r="B6" s="1740" t="s">
        <v>2</v>
      </c>
      <c r="C6" s="1742" t="s">
        <v>1</v>
      </c>
      <c r="D6" s="1745" t="s">
        <v>142</v>
      </c>
      <c r="E6" s="1747" t="s">
        <v>3</v>
      </c>
      <c r="F6" s="1749" t="s">
        <v>141</v>
      </c>
      <c r="G6" s="1751" t="s">
        <v>7</v>
      </c>
      <c r="H6" s="1752"/>
      <c r="I6" s="1753"/>
      <c r="J6" s="466" t="s">
        <v>8</v>
      </c>
      <c r="K6" s="467" t="s">
        <v>9</v>
      </c>
      <c r="L6" s="468" t="s">
        <v>94</v>
      </c>
    </row>
    <row r="7" spans="1:12" s="256" customFormat="1" ht="13.7" customHeight="1" thickBot="1" x14ac:dyDescent="0.25">
      <c r="A7" s="1739"/>
      <c r="B7" s="1741"/>
      <c r="C7" s="1743"/>
      <c r="D7" s="1746"/>
      <c r="E7" s="1748"/>
      <c r="F7" s="1750"/>
      <c r="G7" s="469" t="s">
        <v>92</v>
      </c>
      <c r="H7" s="470" t="s">
        <v>2</v>
      </c>
      <c r="I7" s="471" t="s">
        <v>140</v>
      </c>
      <c r="J7" s="472" t="s">
        <v>93</v>
      </c>
      <c r="K7" s="473" t="s">
        <v>93</v>
      </c>
      <c r="L7" s="471"/>
    </row>
    <row r="8" spans="1:12" s="257" customFormat="1" ht="13.5" customHeight="1" thickBot="1" x14ac:dyDescent="0.25">
      <c r="A8" s="474"/>
      <c r="B8" s="475"/>
      <c r="C8" s="476"/>
      <c r="D8" s="477"/>
      <c r="E8" s="476" t="s">
        <v>143</v>
      </c>
      <c r="F8" s="478"/>
      <c r="G8" s="476"/>
      <c r="H8" s="475"/>
      <c r="I8" s="479"/>
      <c r="J8" s="476"/>
      <c r="K8" s="476"/>
      <c r="L8" s="480"/>
    </row>
    <row r="9" spans="1:12" s="256" customFormat="1" ht="35.1" customHeight="1" x14ac:dyDescent="0.2">
      <c r="A9" s="842" t="s">
        <v>608</v>
      </c>
      <c r="B9" s="274">
        <v>35935</v>
      </c>
      <c r="C9" s="269" t="s">
        <v>609</v>
      </c>
      <c r="D9" s="270"/>
      <c r="E9" s="271" t="s">
        <v>6</v>
      </c>
      <c r="F9" s="272"/>
      <c r="G9" s="273"/>
      <c r="H9" s="584"/>
      <c r="I9" s="275"/>
      <c r="J9" s="797"/>
      <c r="K9" s="798"/>
      <c r="L9" s="804" t="s">
        <v>1166</v>
      </c>
    </row>
    <row r="10" spans="1:12" s="256" customFormat="1" ht="35.1" customHeight="1" x14ac:dyDescent="0.2">
      <c r="A10" s="843" t="s">
        <v>610</v>
      </c>
      <c r="B10" s="258">
        <v>36887</v>
      </c>
      <c r="C10" s="259" t="s">
        <v>611</v>
      </c>
      <c r="D10" s="260" t="s">
        <v>612</v>
      </c>
      <c r="E10" s="794" t="s">
        <v>6</v>
      </c>
      <c r="F10" s="264"/>
      <c r="G10" s="796"/>
      <c r="H10" s="584"/>
      <c r="I10" s="262"/>
      <c r="J10" s="799"/>
      <c r="K10" s="800"/>
      <c r="L10" s="795" t="s">
        <v>1167</v>
      </c>
    </row>
    <row r="11" spans="1:12" s="256" customFormat="1" ht="35.1" customHeight="1" x14ac:dyDescent="0.2">
      <c r="A11" s="843" t="s">
        <v>613</v>
      </c>
      <c r="B11" s="266">
        <v>38497</v>
      </c>
      <c r="C11" s="267" t="s">
        <v>614</v>
      </c>
      <c r="D11" s="260" t="s">
        <v>615</v>
      </c>
      <c r="E11" s="261" t="s">
        <v>6</v>
      </c>
      <c r="F11" s="264"/>
      <c r="G11" s="796"/>
      <c r="H11" s="584"/>
      <c r="I11" s="262"/>
      <c r="J11" s="265"/>
      <c r="K11" s="585"/>
      <c r="L11" s="804" t="s">
        <v>1166</v>
      </c>
    </row>
    <row r="12" spans="1:12" s="256" customFormat="1" ht="45" customHeight="1" x14ac:dyDescent="0.2">
      <c r="A12" s="842" t="s">
        <v>616</v>
      </c>
      <c r="B12" s="586">
        <v>39646</v>
      </c>
      <c r="C12" s="587" t="s">
        <v>617</v>
      </c>
      <c r="D12" s="588"/>
      <c r="E12" s="589" t="s">
        <v>6</v>
      </c>
      <c r="F12" s="590"/>
      <c r="G12" s="796"/>
      <c r="H12" s="591"/>
      <c r="I12" s="803"/>
      <c r="J12" s="801"/>
      <c r="K12" s="592"/>
      <c r="L12" s="802" t="s">
        <v>1165</v>
      </c>
    </row>
    <row r="13" spans="1:12" ht="30.2" customHeight="1" x14ac:dyDescent="0.2">
      <c r="A13" s="249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</row>
    <row r="14" spans="1:12" ht="30.2" customHeight="1" x14ac:dyDescent="0.2">
      <c r="A14" s="249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</row>
    <row r="15" spans="1:12" ht="30.2" customHeight="1" x14ac:dyDescent="0.2">
      <c r="A15" s="249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</row>
    <row r="16" spans="1:12" ht="30.2" customHeight="1" x14ac:dyDescent="0.2">
      <c r="A16" s="249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</row>
    <row r="17" spans="1:12" ht="30.2" customHeight="1" x14ac:dyDescent="0.2">
      <c r="A17" s="249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</row>
    <row r="18" spans="1:12" ht="30.2" customHeight="1" x14ac:dyDescent="0.2">
      <c r="A18" s="249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</row>
    <row r="19" spans="1:12" ht="30.2" customHeight="1" x14ac:dyDescent="0.2">
      <c r="A19" s="249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</row>
    <row r="20" spans="1:12" ht="30.2" customHeight="1" x14ac:dyDescent="0.2">
      <c r="A20" s="249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</row>
    <row r="21" spans="1:12" ht="30.2" customHeight="1" x14ac:dyDescent="0.2">
      <c r="A21" s="249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</row>
    <row r="22" spans="1:12" ht="30.2" customHeight="1" x14ac:dyDescent="0.2">
      <c r="A22" s="249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</row>
    <row r="23" spans="1:12" ht="30.2" customHeight="1" x14ac:dyDescent="0.2">
      <c r="A23" s="249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</row>
    <row r="24" spans="1:12" ht="30.2" customHeight="1" x14ac:dyDescent="0.2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</row>
    <row r="25" spans="1:12" ht="12.75" x14ac:dyDescent="0.2">
      <c r="A25" s="249"/>
      <c r="B25" s="249"/>
      <c r="C25" s="2"/>
      <c r="D25" s="249"/>
      <c r="E25" s="249"/>
      <c r="F25" s="249"/>
      <c r="G25" s="249"/>
      <c r="H25" s="249"/>
      <c r="I25" s="249"/>
      <c r="J25" s="249"/>
      <c r="K25" s="249"/>
      <c r="L25" s="249"/>
    </row>
    <row r="26" spans="1:12" ht="12.75" x14ac:dyDescent="0.2">
      <c r="A26" s="249"/>
      <c r="B26" s="249"/>
      <c r="C26" s="2"/>
      <c r="D26" s="249"/>
      <c r="E26" s="249"/>
      <c r="F26" s="249"/>
      <c r="G26" s="249"/>
      <c r="H26" s="249"/>
      <c r="I26" s="249"/>
      <c r="J26" s="249"/>
      <c r="K26" s="249"/>
      <c r="L26" s="249"/>
    </row>
    <row r="27" spans="1:12" ht="30.2" customHeight="1" x14ac:dyDescent="0.2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</row>
    <row r="28" spans="1:12" ht="30.2" customHeight="1" x14ac:dyDescent="0.2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</row>
    <row r="29" spans="1:12" ht="30.2" customHeight="1" x14ac:dyDescent="0.2">
      <c r="A29" s="249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</row>
    <row r="30" spans="1:12" ht="30.2" customHeight="1" x14ac:dyDescent="0.2">
      <c r="A30" s="249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</row>
    <row r="31" spans="1:12" ht="30.2" customHeight="1" x14ac:dyDescent="0.2">
      <c r="A31" s="249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</row>
    <row r="32" spans="1:12" ht="30.2" customHeight="1" x14ac:dyDescent="0.2">
      <c r="A32" s="249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</row>
    <row r="33" spans="1:12" ht="30.2" customHeight="1" x14ac:dyDescent="0.2">
      <c r="A33" s="249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</row>
    <row r="34" spans="1:12" ht="30.2" customHeight="1" x14ac:dyDescent="0.2">
      <c r="A34" s="249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</row>
    <row r="35" spans="1:12" ht="30.2" customHeight="1" x14ac:dyDescent="0.2">
      <c r="A35" s="249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</row>
    <row r="36" spans="1:12" ht="30.2" customHeight="1" x14ac:dyDescent="0.2">
      <c r="A36" s="249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</row>
    <row r="37" spans="1:12" ht="30.2" customHeight="1" x14ac:dyDescent="0.2">
      <c r="A37" s="249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</row>
    <row r="38" spans="1:12" ht="30.2" customHeight="1" x14ac:dyDescent="0.2">
      <c r="A38" s="249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</row>
    <row r="39" spans="1:12" ht="30.2" customHeight="1" x14ac:dyDescent="0.2">
      <c r="A39" s="249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</row>
    <row r="40" spans="1:12" ht="30.2" customHeight="1" x14ac:dyDescent="0.2">
      <c r="A40" s="249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</row>
    <row r="41" spans="1:12" ht="30.2" customHeight="1" x14ac:dyDescent="0.2">
      <c r="A41" s="249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</row>
    <row r="42" spans="1:12" ht="30.2" customHeight="1" x14ac:dyDescent="0.2">
      <c r="A42" s="249"/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</row>
    <row r="43" spans="1:12" ht="30.2" customHeight="1" x14ac:dyDescent="0.2">
      <c r="A43" s="249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</row>
    <row r="44" spans="1:12" ht="30.2" customHeight="1" x14ac:dyDescent="0.2">
      <c r="A44" s="249"/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</row>
    <row r="45" spans="1:12" ht="30.2" customHeight="1" x14ac:dyDescent="0.2">
      <c r="A45" s="249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</row>
    <row r="46" spans="1:12" ht="30.2" customHeight="1" x14ac:dyDescent="0.2">
      <c r="A46" s="249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</row>
    <row r="47" spans="1:12" ht="30.2" customHeight="1" x14ac:dyDescent="0.2">
      <c r="A47" s="249"/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</row>
    <row r="48" spans="1:12" ht="30.2" customHeight="1" x14ac:dyDescent="0.2">
      <c r="A48" s="249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</row>
    <row r="49" spans="1:12" ht="30.2" customHeight="1" x14ac:dyDescent="0.2">
      <c r="A49" s="249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</row>
    <row r="50" spans="1:12" ht="30.2" customHeight="1" x14ac:dyDescent="0.2">
      <c r="A50" s="249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</row>
    <row r="51" spans="1:12" ht="30.2" customHeight="1" x14ac:dyDescent="0.2">
      <c r="A51" s="249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</row>
    <row r="52" spans="1:12" ht="30.2" customHeight="1" x14ac:dyDescent="0.2">
      <c r="A52" s="249"/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</row>
    <row r="53" spans="1:12" ht="30.2" customHeight="1" x14ac:dyDescent="0.2">
      <c r="A53" s="249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</row>
    <row r="54" spans="1:12" ht="30.2" customHeight="1" x14ac:dyDescent="0.2">
      <c r="A54" s="249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</row>
    <row r="55" spans="1:12" ht="30.2" customHeight="1" x14ac:dyDescent="0.2">
      <c r="A55" s="249"/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</row>
    <row r="56" spans="1:12" ht="30.2" customHeight="1" x14ac:dyDescent="0.2">
      <c r="A56" s="249"/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</row>
    <row r="57" spans="1:12" ht="30.2" customHeight="1" x14ac:dyDescent="0.2">
      <c r="A57" s="249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</row>
    <row r="58" spans="1:12" ht="30.2" customHeight="1" x14ac:dyDescent="0.2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</row>
    <row r="59" spans="1:12" ht="30.2" customHeight="1" x14ac:dyDescent="0.2">
      <c r="A59" s="249"/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</row>
    <row r="60" spans="1:12" ht="30.2" customHeight="1" x14ac:dyDescent="0.2">
      <c r="A60" s="249"/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</row>
    <row r="61" spans="1:12" ht="30.2" customHeight="1" x14ac:dyDescent="0.2">
      <c r="A61" s="249"/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</row>
    <row r="62" spans="1:12" ht="30.2" customHeight="1" x14ac:dyDescent="0.2">
      <c r="A62" s="249"/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</row>
    <row r="63" spans="1:12" ht="30.2" customHeight="1" x14ac:dyDescent="0.2">
      <c r="A63" s="249"/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</row>
    <row r="64" spans="1:12" ht="30.2" customHeight="1" x14ac:dyDescent="0.2">
      <c r="A64" s="249"/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</row>
    <row r="65" spans="1:12" s="278" customFormat="1" ht="13.7" customHeight="1" x14ac:dyDescent="0.2">
      <c r="A65" s="276"/>
      <c r="B65" s="277"/>
      <c r="D65" s="279"/>
      <c r="E65" s="280"/>
      <c r="F65" s="257"/>
      <c r="G65" s="281"/>
      <c r="H65" s="277"/>
      <c r="I65" s="282"/>
      <c r="J65" s="279"/>
      <c r="K65" s="283"/>
      <c r="L65" s="282"/>
    </row>
    <row r="66" spans="1:12" s="278" customFormat="1" ht="13.7" customHeight="1" x14ac:dyDescent="0.2">
      <c r="A66" s="276"/>
      <c r="B66" s="277"/>
      <c r="D66" s="279"/>
      <c r="E66" s="280"/>
      <c r="F66" s="257"/>
      <c r="G66" s="281"/>
      <c r="H66" s="277"/>
      <c r="I66" s="282"/>
      <c r="J66" s="279"/>
      <c r="K66" s="283"/>
      <c r="L66" s="282"/>
    </row>
    <row r="67" spans="1:12" s="278" customFormat="1" ht="13.7" customHeight="1" x14ac:dyDescent="0.2">
      <c r="A67" s="276"/>
      <c r="B67" s="277"/>
      <c r="D67" s="279"/>
      <c r="E67" s="280"/>
      <c r="F67" s="257"/>
      <c r="G67" s="281"/>
      <c r="H67" s="277"/>
      <c r="I67" s="282"/>
      <c r="J67" s="279"/>
      <c r="K67" s="279"/>
      <c r="L67" s="282"/>
    </row>
    <row r="68" spans="1:12" s="278" customFormat="1" ht="13.7" customHeight="1" x14ac:dyDescent="0.2">
      <c r="A68" s="276"/>
      <c r="B68" s="277"/>
      <c r="D68" s="279"/>
      <c r="E68" s="280"/>
      <c r="F68" s="257"/>
      <c r="G68" s="281"/>
      <c r="H68" s="277"/>
      <c r="I68" s="282"/>
      <c r="J68" s="279"/>
      <c r="K68" s="279"/>
      <c r="L68" s="282"/>
    </row>
    <row r="69" spans="1:12" s="278" customFormat="1" ht="13.7" customHeight="1" x14ac:dyDescent="0.2">
      <c r="A69" s="276"/>
      <c r="B69" s="277"/>
      <c r="C69" s="284"/>
      <c r="D69" s="279"/>
      <c r="E69" s="280"/>
      <c r="F69" s="257"/>
      <c r="G69" s="281"/>
      <c r="H69" s="277"/>
      <c r="I69" s="282"/>
      <c r="J69" s="279"/>
      <c r="K69" s="279"/>
      <c r="L69" s="282"/>
    </row>
    <row r="70" spans="1:12" s="278" customFormat="1" ht="13.7" customHeight="1" x14ac:dyDescent="0.2">
      <c r="A70" s="276"/>
      <c r="B70" s="277"/>
      <c r="C70" s="284"/>
      <c r="D70" s="279"/>
      <c r="E70" s="280"/>
      <c r="F70" s="257"/>
      <c r="G70" s="281"/>
      <c r="H70" s="277"/>
      <c r="I70" s="282"/>
      <c r="J70" s="279"/>
      <c r="K70" s="279"/>
      <c r="L70" s="282"/>
    </row>
    <row r="71" spans="1:12" ht="13.7" hidden="1" customHeight="1" x14ac:dyDescent="0.2">
      <c r="F71" s="256"/>
    </row>
    <row r="72" spans="1:12" ht="13.7" hidden="1" customHeight="1" x14ac:dyDescent="0.2">
      <c r="F72" s="256"/>
    </row>
    <row r="73" spans="1:12" ht="13.7" hidden="1" customHeight="1" x14ac:dyDescent="0.2">
      <c r="F73" s="256"/>
    </row>
  </sheetData>
  <autoFilter ref="A8:L12"/>
  <mergeCells count="8">
    <mergeCell ref="A6:A7"/>
    <mergeCell ref="B6:B7"/>
    <mergeCell ref="C6:C7"/>
    <mergeCell ref="D4:G4"/>
    <mergeCell ref="D6:D7"/>
    <mergeCell ref="E6:E7"/>
    <mergeCell ref="F6:F7"/>
    <mergeCell ref="G6:I6"/>
  </mergeCells>
  <pageMargins left="0.31496062992126" right="0.118110236220472" top="0.74803149606299202" bottom="0.74803149606299202" header="0.31496062992126" footer="0.31496062992126"/>
  <pageSetup scale="80" orientation="landscape" r:id="rId1"/>
  <headerFooter>
    <oddHeader>&amp;L&amp;G&amp;C&amp;12
&amp;"Arial,Negrita"&amp;14Engine Airworthiness Directives ARRIUS 1A1 - EASA + DGAC - F</oddHeader>
    <oddFooter>&amp;LPrinted: &amp;D&amp;CPágina &amp;P de &amp;N&amp;RINAER HELICOPTER CHILE S.A.
DEPTO. INGENIERÍA Y CONTROL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workbookViewId="0">
      <pane ySplit="8" topLeftCell="A9" activePane="bottomLeft" state="frozen"/>
      <selection pane="bottomLeft" activeCell="K8" sqref="K8"/>
    </sheetView>
  </sheetViews>
  <sheetFormatPr defaultColWidth="11.42578125" defaultRowHeight="13.7" customHeight="1" x14ac:dyDescent="0.2"/>
  <cols>
    <col min="1" max="1" width="13" style="285" customWidth="1"/>
    <col min="2" max="2" width="9.5703125" style="286" customWidth="1"/>
    <col min="3" max="3" width="32.28515625" style="287" customWidth="1"/>
    <col min="4" max="4" width="13" style="254" customWidth="1"/>
    <col min="5" max="5" width="6.42578125" style="288" bestFit="1" customWidth="1"/>
    <col min="6" max="6" width="9.7109375" style="291" bestFit="1" customWidth="1"/>
    <col min="7" max="7" width="10" style="289" bestFit="1" customWidth="1"/>
    <col min="8" max="8" width="9.5703125" style="286" customWidth="1"/>
    <col min="9" max="9" width="12.42578125" style="290" customWidth="1"/>
    <col min="10" max="10" width="12.42578125" style="254" bestFit="1" customWidth="1"/>
    <col min="11" max="11" width="12.42578125" style="254" customWidth="1"/>
    <col min="12" max="12" width="30.140625" style="290" customWidth="1"/>
    <col min="13" max="16384" width="11.42578125" style="249"/>
  </cols>
  <sheetData>
    <row r="1" spans="1:12" ht="5.25" customHeight="1" x14ac:dyDescent="0.2">
      <c r="A1" s="246"/>
      <c r="B1" s="247"/>
      <c r="C1" s="246"/>
      <c r="D1" s="246"/>
      <c r="E1" s="246"/>
      <c r="F1" s="248"/>
      <c r="G1" s="248"/>
      <c r="H1" s="247"/>
      <c r="I1" s="246"/>
      <c r="J1" s="246"/>
      <c r="K1" s="246"/>
      <c r="L1" s="246"/>
    </row>
    <row r="2" spans="1:12" ht="15" customHeight="1" x14ac:dyDescent="0.2">
      <c r="A2" s="493" t="s">
        <v>218</v>
      </c>
      <c r="B2" s="515" t="str">
        <f>Id!E16</f>
        <v>ARRIUS 1A1</v>
      </c>
      <c r="C2" s="502"/>
      <c r="D2" s="496"/>
      <c r="E2" s="496"/>
      <c r="F2" s="503"/>
      <c r="G2" s="503"/>
      <c r="H2" s="504"/>
      <c r="I2" s="496"/>
      <c r="J2" s="496"/>
      <c r="K2" s="497" t="s">
        <v>198</v>
      </c>
      <c r="L2" s="505">
        <f>Id!E20</f>
        <v>1192.5</v>
      </c>
    </row>
    <row r="3" spans="1:12" ht="15" customHeight="1" x14ac:dyDescent="0.2">
      <c r="A3" s="494" t="s">
        <v>215</v>
      </c>
      <c r="B3" s="805">
        <f>Id!E18</f>
        <v>3008</v>
      </c>
      <c r="C3" s="506"/>
      <c r="D3" s="498"/>
      <c r="E3" s="498"/>
      <c r="F3" s="507"/>
      <c r="G3" s="507"/>
      <c r="H3" s="508"/>
      <c r="I3" s="498"/>
      <c r="J3" s="498"/>
      <c r="K3" s="499" t="s">
        <v>224</v>
      </c>
      <c r="L3" s="509">
        <f>Id!E22</f>
        <v>955.25</v>
      </c>
    </row>
    <row r="4" spans="1:12" ht="15" customHeight="1" x14ac:dyDescent="0.2">
      <c r="A4" s="495" t="s">
        <v>223</v>
      </c>
      <c r="B4" s="510" t="s">
        <v>217</v>
      </c>
      <c r="C4" s="511"/>
      <c r="D4" s="500"/>
      <c r="E4" s="500"/>
      <c r="F4" s="512"/>
      <c r="G4" s="512"/>
      <c r="H4" s="513"/>
      <c r="I4" s="500"/>
      <c r="J4" s="500"/>
      <c r="K4" s="501" t="s">
        <v>95</v>
      </c>
      <c r="L4" s="514">
        <f>Id!E3</f>
        <v>41449</v>
      </c>
    </row>
    <row r="5" spans="1:12" ht="10.5" customHeight="1" thickBot="1" x14ac:dyDescent="0.25">
      <c r="A5" s="250"/>
      <c r="B5" s="247"/>
      <c r="C5" s="250"/>
      <c r="D5" s="251"/>
      <c r="E5" s="250"/>
      <c r="F5" s="248"/>
      <c r="G5" s="252"/>
      <c r="H5" s="247"/>
      <c r="I5" s="253"/>
      <c r="K5" s="255"/>
      <c r="L5" s="249"/>
    </row>
    <row r="6" spans="1:12" s="256" customFormat="1" ht="13.7" customHeight="1" x14ac:dyDescent="0.2">
      <c r="A6" s="1738" t="s">
        <v>12</v>
      </c>
      <c r="B6" s="1740" t="s">
        <v>2</v>
      </c>
      <c r="C6" s="1742" t="s">
        <v>1</v>
      </c>
      <c r="D6" s="1745" t="s">
        <v>142</v>
      </c>
      <c r="E6" s="1747" t="s">
        <v>3</v>
      </c>
      <c r="F6" s="1749" t="s">
        <v>141</v>
      </c>
      <c r="G6" s="1751" t="s">
        <v>7</v>
      </c>
      <c r="H6" s="1752"/>
      <c r="I6" s="1753"/>
      <c r="J6" s="466" t="s">
        <v>8</v>
      </c>
      <c r="K6" s="467" t="s">
        <v>9</v>
      </c>
      <c r="L6" s="468" t="s">
        <v>94</v>
      </c>
    </row>
    <row r="7" spans="1:12" s="256" customFormat="1" ht="13.7" customHeight="1" thickBot="1" x14ac:dyDescent="0.25">
      <c r="A7" s="1757"/>
      <c r="B7" s="1758"/>
      <c r="C7" s="1759"/>
      <c r="D7" s="1754"/>
      <c r="E7" s="1755"/>
      <c r="F7" s="1756"/>
      <c r="G7" s="481" t="s">
        <v>92</v>
      </c>
      <c r="H7" s="482" t="s">
        <v>2</v>
      </c>
      <c r="I7" s="483" t="s">
        <v>140</v>
      </c>
      <c r="J7" s="484" t="s">
        <v>93</v>
      </c>
      <c r="K7" s="485" t="s">
        <v>93</v>
      </c>
      <c r="L7" s="483"/>
    </row>
    <row r="8" spans="1:12" s="257" customFormat="1" ht="14.25" customHeight="1" thickTop="1" thickBot="1" x14ac:dyDescent="0.25">
      <c r="A8" s="486"/>
      <c r="B8" s="487"/>
      <c r="C8" s="488"/>
      <c r="D8" s="489"/>
      <c r="E8" s="488" t="s">
        <v>143</v>
      </c>
      <c r="F8" s="490"/>
      <c r="G8" s="488"/>
      <c r="H8" s="487"/>
      <c r="I8" s="491"/>
      <c r="J8" s="488"/>
      <c r="K8" s="488"/>
      <c r="L8" s="492"/>
    </row>
    <row r="9" spans="1:12" s="256" customFormat="1" ht="35.1" customHeight="1" x14ac:dyDescent="0.2">
      <c r="A9" s="842" t="s">
        <v>608</v>
      </c>
      <c r="B9" s="274">
        <v>35935</v>
      </c>
      <c r="C9" s="269" t="s">
        <v>609</v>
      </c>
      <c r="D9" s="270"/>
      <c r="E9" s="271" t="s">
        <v>6</v>
      </c>
      <c r="F9" s="272"/>
      <c r="G9" s="807"/>
      <c r="H9" s="274"/>
      <c r="I9" s="275"/>
      <c r="J9" s="797"/>
      <c r="K9" s="798"/>
      <c r="L9" s="804" t="s">
        <v>1166</v>
      </c>
    </row>
    <row r="10" spans="1:12" s="256" customFormat="1" ht="35.1" customHeight="1" x14ac:dyDescent="0.2">
      <c r="A10" s="843" t="s">
        <v>610</v>
      </c>
      <c r="B10" s="258">
        <v>36887</v>
      </c>
      <c r="C10" s="259" t="s">
        <v>611</v>
      </c>
      <c r="D10" s="260" t="s">
        <v>612</v>
      </c>
      <c r="E10" s="794" t="s">
        <v>6</v>
      </c>
      <c r="F10" s="264"/>
      <c r="G10" s="807"/>
      <c r="H10" s="258"/>
      <c r="I10" s="262"/>
      <c r="J10" s="808"/>
      <c r="K10" s="809"/>
      <c r="L10" s="795" t="s">
        <v>1168</v>
      </c>
    </row>
    <row r="11" spans="1:12" s="256" customFormat="1" ht="35.1" customHeight="1" x14ac:dyDescent="0.2">
      <c r="A11" s="616" t="s">
        <v>613</v>
      </c>
      <c r="B11" s="266">
        <v>38497</v>
      </c>
      <c r="C11" s="615" t="s">
        <v>614</v>
      </c>
      <c r="D11" s="260" t="s">
        <v>615</v>
      </c>
      <c r="E11" s="794" t="s">
        <v>6</v>
      </c>
      <c r="F11" s="264"/>
      <c r="G11" s="807"/>
      <c r="H11" s="258"/>
      <c r="I11" s="262"/>
      <c r="J11" s="808"/>
      <c r="K11" s="809"/>
      <c r="L11" s="804" t="s">
        <v>1166</v>
      </c>
    </row>
    <row r="12" spans="1:12" s="256" customFormat="1" ht="45" customHeight="1" x14ac:dyDescent="0.2">
      <c r="A12" s="842" t="s">
        <v>616</v>
      </c>
      <c r="B12" s="268">
        <v>39646</v>
      </c>
      <c r="C12" s="269" t="s">
        <v>617</v>
      </c>
      <c r="D12" s="270"/>
      <c r="E12" s="271" t="s">
        <v>6</v>
      </c>
      <c r="F12" s="272"/>
      <c r="G12" s="807"/>
      <c r="H12" s="274"/>
      <c r="I12" s="806"/>
      <c r="J12" s="810"/>
      <c r="K12" s="263"/>
      <c r="L12" s="804" t="s">
        <v>1165</v>
      </c>
    </row>
    <row r="13" spans="1:12" ht="30.2" customHeight="1" x14ac:dyDescent="0.2">
      <c r="A13" s="249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</row>
    <row r="14" spans="1:12" ht="30.2" customHeight="1" x14ac:dyDescent="0.2">
      <c r="A14" s="249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</row>
    <row r="15" spans="1:12" ht="30.2" customHeight="1" x14ac:dyDescent="0.2">
      <c r="A15" s="249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</row>
    <row r="16" spans="1:12" ht="30.2" customHeight="1" x14ac:dyDescent="0.2">
      <c r="A16" s="249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</row>
    <row r="17" spans="1:12" ht="30.2" customHeight="1" x14ac:dyDescent="0.2">
      <c r="A17" s="249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</row>
    <row r="18" spans="1:12" ht="30.2" customHeight="1" x14ac:dyDescent="0.2">
      <c r="A18" s="249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</row>
    <row r="19" spans="1:12" ht="30.2" customHeight="1" x14ac:dyDescent="0.2">
      <c r="A19" s="249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</row>
    <row r="20" spans="1:12" ht="30.2" customHeight="1" x14ac:dyDescent="0.2">
      <c r="A20" s="249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</row>
    <row r="21" spans="1:12" ht="30.2" customHeight="1" x14ac:dyDescent="0.2">
      <c r="A21" s="249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</row>
    <row r="22" spans="1:12" ht="30.2" customHeight="1" x14ac:dyDescent="0.2">
      <c r="A22" s="249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</row>
    <row r="23" spans="1:12" ht="30.2" customHeight="1" x14ac:dyDescent="0.2">
      <c r="A23" s="249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</row>
    <row r="24" spans="1:12" ht="30.2" customHeight="1" x14ac:dyDescent="0.2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</row>
    <row r="25" spans="1:12" ht="12.75" x14ac:dyDescent="0.2">
      <c r="A25" s="249"/>
      <c r="B25" s="249"/>
      <c r="C25" s="2"/>
      <c r="D25" s="249"/>
      <c r="E25" s="249"/>
      <c r="F25" s="249"/>
      <c r="G25" s="249"/>
      <c r="H25" s="249"/>
      <c r="I25" s="249"/>
      <c r="J25" s="249"/>
      <c r="K25" s="249"/>
      <c r="L25" s="249"/>
    </row>
    <row r="26" spans="1:12" ht="12.75" x14ac:dyDescent="0.2">
      <c r="A26" s="249"/>
      <c r="B26" s="249"/>
      <c r="C26" s="2"/>
      <c r="D26" s="249"/>
      <c r="E26" s="249"/>
      <c r="F26" s="249"/>
      <c r="G26" s="249"/>
      <c r="H26" s="249"/>
      <c r="I26" s="249"/>
      <c r="J26" s="249"/>
      <c r="K26" s="249"/>
      <c r="L26" s="249"/>
    </row>
    <row r="27" spans="1:12" ht="30.2" customHeight="1" x14ac:dyDescent="0.2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</row>
    <row r="28" spans="1:12" ht="30.2" customHeight="1" x14ac:dyDescent="0.2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</row>
    <row r="29" spans="1:12" ht="30.2" customHeight="1" x14ac:dyDescent="0.2">
      <c r="A29" s="249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</row>
    <row r="30" spans="1:12" ht="30.2" customHeight="1" x14ac:dyDescent="0.2">
      <c r="A30" s="249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</row>
    <row r="31" spans="1:12" ht="30.2" customHeight="1" x14ac:dyDescent="0.2">
      <c r="A31" s="249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</row>
    <row r="32" spans="1:12" ht="30.2" customHeight="1" x14ac:dyDescent="0.2">
      <c r="A32" s="249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</row>
    <row r="33" spans="1:12" ht="30.2" customHeight="1" x14ac:dyDescent="0.2">
      <c r="A33" s="249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</row>
    <row r="34" spans="1:12" ht="30.2" customHeight="1" x14ac:dyDescent="0.2">
      <c r="A34" s="249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</row>
    <row r="35" spans="1:12" ht="30.2" customHeight="1" x14ac:dyDescent="0.2">
      <c r="A35" s="249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</row>
    <row r="36" spans="1:12" ht="30.2" customHeight="1" x14ac:dyDescent="0.2">
      <c r="A36" s="249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</row>
    <row r="37" spans="1:12" ht="30.2" customHeight="1" x14ac:dyDescent="0.2">
      <c r="A37" s="249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</row>
    <row r="38" spans="1:12" ht="30.2" customHeight="1" x14ac:dyDescent="0.2">
      <c r="A38" s="249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</row>
    <row r="39" spans="1:12" ht="30.2" customHeight="1" x14ac:dyDescent="0.2">
      <c r="A39" s="249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</row>
    <row r="40" spans="1:12" ht="30.2" customHeight="1" x14ac:dyDescent="0.2">
      <c r="A40" s="249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</row>
    <row r="41" spans="1:12" ht="30.2" customHeight="1" x14ac:dyDescent="0.2">
      <c r="A41" s="249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</row>
    <row r="42" spans="1:12" ht="30.2" customHeight="1" x14ac:dyDescent="0.2">
      <c r="A42" s="249"/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</row>
    <row r="43" spans="1:12" ht="30.2" customHeight="1" x14ac:dyDescent="0.2">
      <c r="A43" s="249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</row>
    <row r="44" spans="1:12" ht="30.2" customHeight="1" x14ac:dyDescent="0.2">
      <c r="A44" s="249"/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</row>
    <row r="45" spans="1:12" ht="30.2" customHeight="1" x14ac:dyDescent="0.2">
      <c r="A45" s="249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</row>
    <row r="46" spans="1:12" ht="30.2" customHeight="1" x14ac:dyDescent="0.2">
      <c r="A46" s="249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</row>
    <row r="47" spans="1:12" ht="30.2" customHeight="1" x14ac:dyDescent="0.2">
      <c r="A47" s="249"/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</row>
    <row r="48" spans="1:12" ht="30.2" customHeight="1" x14ac:dyDescent="0.2">
      <c r="A48" s="249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</row>
    <row r="49" spans="1:12" ht="30.2" customHeight="1" x14ac:dyDescent="0.2">
      <c r="A49" s="249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</row>
    <row r="50" spans="1:12" ht="30.2" customHeight="1" x14ac:dyDescent="0.2">
      <c r="A50" s="249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</row>
    <row r="51" spans="1:12" ht="30.2" customHeight="1" x14ac:dyDescent="0.2">
      <c r="A51" s="249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</row>
    <row r="52" spans="1:12" ht="30.2" customHeight="1" x14ac:dyDescent="0.2">
      <c r="A52" s="249"/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</row>
    <row r="53" spans="1:12" ht="30.2" customHeight="1" x14ac:dyDescent="0.2">
      <c r="A53" s="249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</row>
    <row r="54" spans="1:12" ht="30.2" customHeight="1" x14ac:dyDescent="0.2">
      <c r="A54" s="249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</row>
    <row r="55" spans="1:12" ht="30.2" customHeight="1" x14ac:dyDescent="0.2">
      <c r="A55" s="249"/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</row>
    <row r="56" spans="1:12" ht="30.2" customHeight="1" x14ac:dyDescent="0.2">
      <c r="A56" s="249"/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</row>
    <row r="57" spans="1:12" ht="30.2" customHeight="1" x14ac:dyDescent="0.2">
      <c r="A57" s="249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</row>
    <row r="58" spans="1:12" ht="30.2" customHeight="1" x14ac:dyDescent="0.2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</row>
    <row r="59" spans="1:12" ht="30.2" customHeight="1" x14ac:dyDescent="0.2">
      <c r="A59" s="249"/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</row>
    <row r="60" spans="1:12" ht="30.2" customHeight="1" x14ac:dyDescent="0.2">
      <c r="A60" s="249"/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</row>
    <row r="61" spans="1:12" ht="30.2" customHeight="1" x14ac:dyDescent="0.2">
      <c r="A61" s="249"/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</row>
    <row r="62" spans="1:12" ht="30.2" customHeight="1" x14ac:dyDescent="0.2">
      <c r="A62" s="249"/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</row>
    <row r="63" spans="1:12" ht="30.2" customHeight="1" x14ac:dyDescent="0.2">
      <c r="A63" s="249"/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</row>
    <row r="64" spans="1:12" s="278" customFormat="1" ht="13.7" customHeight="1" x14ac:dyDescent="0.2">
      <c r="A64" s="276"/>
      <c r="B64" s="277"/>
      <c r="D64" s="279"/>
      <c r="E64" s="280"/>
      <c r="F64" s="257"/>
      <c r="G64" s="281"/>
      <c r="H64" s="277"/>
      <c r="I64" s="282"/>
      <c r="J64" s="279"/>
      <c r="K64" s="283"/>
      <c r="L64" s="282"/>
    </row>
    <row r="65" spans="1:12" s="278" customFormat="1" ht="13.7" customHeight="1" x14ac:dyDescent="0.2">
      <c r="A65" s="276"/>
      <c r="B65" s="277"/>
      <c r="D65" s="279"/>
      <c r="E65" s="280"/>
      <c r="F65" s="257"/>
      <c r="G65" s="281"/>
      <c r="H65" s="277"/>
      <c r="I65" s="282"/>
      <c r="J65" s="279"/>
      <c r="K65" s="283"/>
      <c r="L65" s="282"/>
    </row>
    <row r="66" spans="1:12" s="278" customFormat="1" ht="13.7" customHeight="1" x14ac:dyDescent="0.2">
      <c r="A66" s="276"/>
      <c r="B66" s="277"/>
      <c r="D66" s="279"/>
      <c r="E66" s="280"/>
      <c r="F66" s="257"/>
      <c r="G66" s="281"/>
      <c r="H66" s="277"/>
      <c r="I66" s="282"/>
      <c r="J66" s="279"/>
      <c r="K66" s="279"/>
      <c r="L66" s="282"/>
    </row>
    <row r="67" spans="1:12" s="278" customFormat="1" ht="13.7" customHeight="1" x14ac:dyDescent="0.2">
      <c r="A67" s="276"/>
      <c r="B67" s="277"/>
      <c r="D67" s="279"/>
      <c r="E67" s="280"/>
      <c r="F67" s="257"/>
      <c r="G67" s="281"/>
      <c r="H67" s="277"/>
      <c r="I67" s="282"/>
      <c r="J67" s="279"/>
      <c r="K67" s="279"/>
      <c r="L67" s="282"/>
    </row>
    <row r="68" spans="1:12" s="278" customFormat="1" ht="13.7" customHeight="1" x14ac:dyDescent="0.2">
      <c r="A68" s="276"/>
      <c r="B68" s="277"/>
      <c r="C68" s="284"/>
      <c r="D68" s="279"/>
      <c r="E68" s="280"/>
      <c r="F68" s="257"/>
      <c r="G68" s="281"/>
      <c r="H68" s="277"/>
      <c r="I68" s="282"/>
      <c r="J68" s="279"/>
      <c r="K68" s="279"/>
      <c r="L68" s="282"/>
    </row>
    <row r="69" spans="1:12" s="278" customFormat="1" ht="13.7" customHeight="1" x14ac:dyDescent="0.2">
      <c r="A69" s="276"/>
      <c r="B69" s="277"/>
      <c r="C69" s="284"/>
      <c r="D69" s="279"/>
      <c r="E69" s="280"/>
      <c r="F69" s="257"/>
      <c r="G69" s="281"/>
      <c r="H69" s="277"/>
      <c r="I69" s="282"/>
      <c r="J69" s="279"/>
      <c r="K69" s="279"/>
      <c r="L69" s="282"/>
    </row>
    <row r="70" spans="1:12" ht="13.7" hidden="1" customHeight="1" x14ac:dyDescent="0.2">
      <c r="F70" s="256"/>
    </row>
    <row r="71" spans="1:12" ht="13.7" hidden="1" customHeight="1" x14ac:dyDescent="0.2">
      <c r="F71" s="256"/>
    </row>
    <row r="72" spans="1:12" ht="13.7" hidden="1" customHeight="1" x14ac:dyDescent="0.2">
      <c r="F72" s="256"/>
    </row>
  </sheetData>
  <autoFilter ref="A8:L12"/>
  <mergeCells count="7">
    <mergeCell ref="D6:D7"/>
    <mergeCell ref="E6:E7"/>
    <mergeCell ref="F6:F7"/>
    <mergeCell ref="G6:I6"/>
    <mergeCell ref="A6:A7"/>
    <mergeCell ref="B6:B7"/>
    <mergeCell ref="C6:C7"/>
  </mergeCells>
  <conditionalFormatting sqref="M10:M11">
    <cfRule type="containsText" dxfId="3" priority="2" stopIfTrue="1" operator="containsText" text="ALERTA">
      <formula>NOT(ISERROR(SEARCH("ALERTA",M10)))</formula>
    </cfRule>
  </conditionalFormatting>
  <conditionalFormatting sqref="M1:M1048576">
    <cfRule type="containsText" dxfId="2" priority="1" stopIfTrue="1" operator="containsText" text="ALERTA">
      <formula>NOT(ISERROR(SEARCH("ALERTA",M1)))</formula>
    </cfRule>
  </conditionalFormatting>
  <pageMargins left="0.31496062992126" right="0.118110236220472" top="0.74803149606299202" bottom="0.74803149606299202" header="0.31496062992126" footer="0.31496062992126"/>
  <pageSetup scale="80" orientation="landscape" r:id="rId1"/>
  <headerFooter>
    <oddHeader>&amp;L&amp;G&amp;C
&amp;"Arial,Negrita"&amp;14Engine Airworthiness Directives ARRIUS 1A1 - EASA + DGAC - F</oddHeader>
    <oddFooter>&amp;LPrinted: &amp;D&amp;CPágina &amp;P de &amp;N&amp;RINAER HELICOPTER CHILE S.A.
INGENIERÍA Y CONTROL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pane ySplit="8" topLeftCell="A39" activePane="bottomLeft" state="frozen"/>
      <selection pane="bottomLeft" activeCell="L2" sqref="L2"/>
    </sheetView>
  </sheetViews>
  <sheetFormatPr defaultColWidth="11.42578125" defaultRowHeight="13.7" customHeight="1" x14ac:dyDescent="0.2"/>
  <cols>
    <col min="1" max="1" width="15.42578125" style="4" customWidth="1"/>
    <col min="2" max="2" width="9.7109375" style="139" customWidth="1"/>
    <col min="3" max="3" width="36.7109375" style="5" customWidth="1"/>
    <col min="4" max="4" width="13.85546875" style="144" customWidth="1"/>
    <col min="5" max="5" width="8.140625" style="3" bestFit="1" customWidth="1"/>
    <col min="6" max="6" width="9.140625" style="192" bestFit="1" customWidth="1"/>
    <col min="7" max="7" width="9" style="190" customWidth="1"/>
    <col min="8" max="8" width="9" style="139" customWidth="1"/>
    <col min="9" max="9" width="11.42578125" style="191" bestFit="1" customWidth="1"/>
    <col min="10" max="10" width="13.42578125" style="144" customWidth="1"/>
    <col min="11" max="11" width="10.85546875" style="144" customWidth="1"/>
    <col min="12" max="12" width="29.42578125" style="191" customWidth="1"/>
    <col min="13" max="16384" width="11.42578125" style="2"/>
  </cols>
  <sheetData>
    <row r="1" spans="1:12" ht="5.25" customHeight="1" x14ac:dyDescent="0.2">
      <c r="A1" s="137"/>
      <c r="B1" s="138"/>
      <c r="C1" s="137"/>
      <c r="D1" s="137"/>
      <c r="E1" s="137"/>
      <c r="F1" s="140"/>
      <c r="G1" s="140"/>
      <c r="H1" s="138"/>
      <c r="I1" s="137"/>
      <c r="J1" s="137"/>
      <c r="K1" s="137"/>
      <c r="L1" s="137"/>
    </row>
    <row r="2" spans="1:12" ht="13.7" customHeight="1" x14ac:dyDescent="0.2">
      <c r="A2" s="539" t="s">
        <v>216</v>
      </c>
      <c r="B2" s="537" t="s">
        <v>1280</v>
      </c>
      <c r="C2" s="540"/>
      <c r="D2" s="541"/>
      <c r="E2" s="541"/>
      <c r="F2" s="542"/>
      <c r="G2" s="542"/>
      <c r="H2" s="543"/>
      <c r="I2" s="541"/>
      <c r="J2" s="541"/>
      <c r="K2" s="544" t="s">
        <v>96</v>
      </c>
      <c r="L2" s="545">
        <f>Id!B11</f>
        <v>1192.5</v>
      </c>
    </row>
    <row r="3" spans="1:12" ht="13.7" customHeight="1" x14ac:dyDescent="0.2">
      <c r="A3" s="546" t="s">
        <v>214</v>
      </c>
      <c r="B3" s="925" t="s">
        <v>1315</v>
      </c>
      <c r="C3" s="547"/>
      <c r="D3" s="548"/>
      <c r="E3" s="548"/>
      <c r="F3" s="549"/>
      <c r="G3" s="549"/>
      <c r="H3" s="550"/>
      <c r="I3" s="548"/>
      <c r="J3" s="548"/>
      <c r="K3" s="551" t="s">
        <v>97</v>
      </c>
      <c r="L3" s="552">
        <f>Id!E11</f>
        <v>3532</v>
      </c>
    </row>
    <row r="4" spans="1:12" ht="13.7" customHeight="1" x14ac:dyDescent="0.2">
      <c r="A4" s="553" t="s">
        <v>215</v>
      </c>
      <c r="B4" s="538" t="s">
        <v>1316</v>
      </c>
      <c r="C4" s="554"/>
      <c r="D4" s="555"/>
      <c r="E4" s="555"/>
      <c r="F4" s="556"/>
      <c r="G4" s="556"/>
      <c r="H4" s="557"/>
      <c r="I4" s="555"/>
      <c r="J4" s="555"/>
      <c r="K4" s="558" t="s">
        <v>213</v>
      </c>
      <c r="L4" s="559">
        <f>Id!E3</f>
        <v>41449</v>
      </c>
    </row>
    <row r="5" spans="1:12" ht="10.5" customHeight="1" thickBot="1" x14ac:dyDescent="0.25">
      <c r="A5" s="1"/>
      <c r="B5" s="138"/>
      <c r="C5" s="1"/>
      <c r="D5" s="141"/>
      <c r="E5" s="1"/>
      <c r="F5" s="140"/>
      <c r="G5" s="142"/>
      <c r="H5" s="138"/>
      <c r="I5" s="143"/>
      <c r="K5" s="145"/>
      <c r="L5" s="2"/>
    </row>
    <row r="6" spans="1:12" s="146" customFormat="1" ht="13.7" customHeight="1" x14ac:dyDescent="0.2">
      <c r="A6" s="1763" t="s">
        <v>12</v>
      </c>
      <c r="B6" s="1765" t="s">
        <v>2</v>
      </c>
      <c r="C6" s="1767" t="s">
        <v>1</v>
      </c>
      <c r="D6" s="1769" t="s">
        <v>142</v>
      </c>
      <c r="E6" s="1771" t="s">
        <v>3</v>
      </c>
      <c r="F6" s="1773" t="s">
        <v>141</v>
      </c>
      <c r="G6" s="1760" t="s">
        <v>7</v>
      </c>
      <c r="H6" s="1761"/>
      <c r="I6" s="1762"/>
      <c r="J6" s="560" t="s">
        <v>8</v>
      </c>
      <c r="K6" s="561" t="s">
        <v>9</v>
      </c>
      <c r="L6" s="562" t="s">
        <v>94</v>
      </c>
    </row>
    <row r="7" spans="1:12" s="146" customFormat="1" ht="13.7" customHeight="1" thickBot="1" x14ac:dyDescent="0.25">
      <c r="A7" s="1764"/>
      <c r="B7" s="1766"/>
      <c r="C7" s="1768"/>
      <c r="D7" s="1770"/>
      <c r="E7" s="1772"/>
      <c r="F7" s="1774"/>
      <c r="G7" s="563" t="s">
        <v>92</v>
      </c>
      <c r="H7" s="564" t="s">
        <v>2</v>
      </c>
      <c r="I7" s="565" t="s">
        <v>140</v>
      </c>
      <c r="J7" s="566" t="s">
        <v>93</v>
      </c>
      <c r="K7" s="567" t="s">
        <v>93</v>
      </c>
      <c r="L7" s="565"/>
    </row>
    <row r="8" spans="1:12" s="147" customFormat="1" ht="12.75" customHeight="1" thickTop="1" thickBot="1" x14ac:dyDescent="0.25">
      <c r="A8" s="568"/>
      <c r="B8" s="569"/>
      <c r="C8" s="570"/>
      <c r="D8" s="571"/>
      <c r="E8" s="570" t="s">
        <v>143</v>
      </c>
      <c r="F8" s="572"/>
      <c r="G8" s="570"/>
      <c r="H8" s="569"/>
      <c r="I8" s="573"/>
      <c r="J8" s="570"/>
      <c r="K8" s="570"/>
      <c r="L8" s="574"/>
    </row>
    <row r="9" spans="1:12" s="146" customFormat="1" ht="35.1" customHeight="1" x14ac:dyDescent="0.2">
      <c r="A9" s="39" t="s">
        <v>34</v>
      </c>
      <c r="B9" s="169">
        <v>30811</v>
      </c>
      <c r="C9" s="165" t="s">
        <v>35</v>
      </c>
      <c r="D9" s="178" t="s">
        <v>197</v>
      </c>
      <c r="E9" s="166" t="s">
        <v>6</v>
      </c>
      <c r="F9" s="167"/>
      <c r="G9" s="217"/>
      <c r="H9" s="169"/>
      <c r="I9" s="218"/>
      <c r="J9" s="171"/>
      <c r="K9" s="172"/>
      <c r="L9" s="170" t="s">
        <v>257</v>
      </c>
    </row>
    <row r="10" spans="1:12" s="146" customFormat="1" ht="35.1" customHeight="1" x14ac:dyDescent="0.2">
      <c r="A10" s="49" t="s">
        <v>33</v>
      </c>
      <c r="B10" s="149">
        <v>36117</v>
      </c>
      <c r="C10" s="222" t="s">
        <v>36</v>
      </c>
      <c r="D10" s="151"/>
      <c r="E10" s="152" t="s">
        <v>6</v>
      </c>
      <c r="F10" s="153"/>
      <c r="G10" s="154"/>
      <c r="H10" s="149"/>
      <c r="I10" s="155"/>
      <c r="J10" s="156"/>
      <c r="K10" s="157"/>
      <c r="L10" s="158" t="s">
        <v>673</v>
      </c>
    </row>
    <row r="11" spans="1:12" s="146" customFormat="1" ht="35.1" customHeight="1" x14ac:dyDescent="0.2">
      <c r="A11" s="49" t="s">
        <v>32</v>
      </c>
      <c r="B11" s="149">
        <v>36551</v>
      </c>
      <c r="C11" s="150" t="s">
        <v>37</v>
      </c>
      <c r="D11" s="151"/>
      <c r="E11" s="152" t="s">
        <v>6</v>
      </c>
      <c r="F11" s="153"/>
      <c r="G11" s="154"/>
      <c r="H11" s="149"/>
      <c r="I11" s="155"/>
      <c r="J11" s="156"/>
      <c r="K11" s="157"/>
      <c r="L11" s="158" t="s">
        <v>621</v>
      </c>
    </row>
    <row r="12" spans="1:12" s="146" customFormat="1" ht="35.1" customHeight="1" x14ac:dyDescent="0.2">
      <c r="A12" s="49" t="s">
        <v>30</v>
      </c>
      <c r="B12" s="160">
        <v>37741</v>
      </c>
      <c r="C12" s="148" t="s">
        <v>39</v>
      </c>
      <c r="D12" s="151"/>
      <c r="E12" s="152" t="s">
        <v>6</v>
      </c>
      <c r="F12" s="153"/>
      <c r="G12" s="154"/>
      <c r="H12" s="149"/>
      <c r="I12" s="155"/>
      <c r="J12" s="156"/>
      <c r="K12" s="157"/>
      <c r="L12" s="158" t="s">
        <v>258</v>
      </c>
    </row>
    <row r="13" spans="1:12" s="146" customFormat="1" ht="35.1" customHeight="1" x14ac:dyDescent="0.2">
      <c r="A13" s="49" t="s">
        <v>29</v>
      </c>
      <c r="B13" s="160">
        <v>37741</v>
      </c>
      <c r="C13" s="148" t="s">
        <v>40</v>
      </c>
      <c r="D13" s="151"/>
      <c r="E13" s="152" t="s">
        <v>6</v>
      </c>
      <c r="F13" s="153"/>
      <c r="G13" s="154"/>
      <c r="H13" s="149"/>
      <c r="I13" s="155"/>
      <c r="J13" s="156"/>
      <c r="K13" s="157"/>
      <c r="L13" s="158" t="s">
        <v>258</v>
      </c>
    </row>
    <row r="14" spans="1:12" s="146" customFormat="1" ht="35.1" customHeight="1" x14ac:dyDescent="0.2">
      <c r="A14" s="39" t="s">
        <v>648</v>
      </c>
      <c r="B14" s="216">
        <v>38565</v>
      </c>
      <c r="C14" s="31" t="s">
        <v>232</v>
      </c>
      <c r="D14" s="178"/>
      <c r="E14" s="166" t="s">
        <v>6</v>
      </c>
      <c r="F14" s="167"/>
      <c r="G14" s="217"/>
      <c r="H14" s="169"/>
      <c r="I14" s="218"/>
      <c r="J14" s="171"/>
      <c r="K14" s="172"/>
      <c r="L14" s="170" t="s">
        <v>245</v>
      </c>
    </row>
    <row r="15" spans="1:12" s="146" customFormat="1" ht="35.1" customHeight="1" x14ac:dyDescent="0.2">
      <c r="A15" s="39" t="s">
        <v>649</v>
      </c>
      <c r="B15" s="216">
        <v>38953</v>
      </c>
      <c r="C15" s="165" t="s">
        <v>246</v>
      </c>
      <c r="D15" s="178"/>
      <c r="E15" s="166" t="s">
        <v>6</v>
      </c>
      <c r="F15" s="167"/>
      <c r="G15" s="217"/>
      <c r="H15" s="169"/>
      <c r="I15" s="218"/>
      <c r="J15" s="171"/>
      <c r="K15" s="172"/>
      <c r="L15" s="170" t="s">
        <v>247</v>
      </c>
    </row>
    <row r="16" spans="1:12" s="146" customFormat="1" ht="35.1" customHeight="1" x14ac:dyDescent="0.2">
      <c r="A16" s="39" t="s">
        <v>650</v>
      </c>
      <c r="B16" s="216">
        <v>39435</v>
      </c>
      <c r="C16" s="165" t="s">
        <v>252</v>
      </c>
      <c r="D16" s="178"/>
      <c r="E16" s="166" t="s">
        <v>6</v>
      </c>
      <c r="F16" s="167"/>
      <c r="G16" s="217"/>
      <c r="H16" s="169"/>
      <c r="I16" s="218"/>
      <c r="J16" s="171"/>
      <c r="K16" s="172"/>
      <c r="L16" s="170" t="s">
        <v>253</v>
      </c>
    </row>
    <row r="17" spans="1:12" s="146" customFormat="1" ht="35.1" customHeight="1" x14ac:dyDescent="0.2">
      <c r="A17" s="39" t="s">
        <v>651</v>
      </c>
      <c r="B17" s="164">
        <v>38929</v>
      </c>
      <c r="C17" s="31" t="s">
        <v>227</v>
      </c>
      <c r="D17" s="166"/>
      <c r="E17" s="166" t="s">
        <v>6</v>
      </c>
      <c r="F17" s="167"/>
      <c r="G17" s="173"/>
      <c r="H17" s="174"/>
      <c r="I17" s="175"/>
      <c r="J17" s="171"/>
      <c r="K17" s="172"/>
      <c r="L17" s="170" t="s">
        <v>254</v>
      </c>
    </row>
    <row r="18" spans="1:12" s="146" customFormat="1" ht="35.1" customHeight="1" x14ac:dyDescent="0.2">
      <c r="A18" s="39" t="s">
        <v>652</v>
      </c>
      <c r="B18" s="164">
        <v>38953</v>
      </c>
      <c r="C18" s="165" t="s">
        <v>228</v>
      </c>
      <c r="D18" s="166"/>
      <c r="E18" s="166" t="s">
        <v>6</v>
      </c>
      <c r="F18" s="167"/>
      <c r="G18" s="173"/>
      <c r="H18" s="174"/>
      <c r="I18" s="175"/>
      <c r="J18" s="171"/>
      <c r="K18" s="172"/>
      <c r="L18" s="170" t="s">
        <v>255</v>
      </c>
    </row>
    <row r="19" spans="1:12" s="3" customFormat="1" ht="35.1" customHeight="1" x14ac:dyDescent="0.2">
      <c r="A19" s="49" t="s">
        <v>544</v>
      </c>
      <c r="B19" s="177">
        <v>38973</v>
      </c>
      <c r="C19" s="148" t="s">
        <v>229</v>
      </c>
      <c r="D19" s="152"/>
      <c r="E19" s="152" t="s">
        <v>5</v>
      </c>
      <c r="F19" s="153"/>
      <c r="G19" s="159"/>
      <c r="H19" s="149"/>
      <c r="I19" s="163"/>
      <c r="J19" s="342"/>
      <c r="K19" s="157"/>
      <c r="L19" s="170" t="s">
        <v>259</v>
      </c>
    </row>
    <row r="20" spans="1:12" s="3" customFormat="1" ht="35.1" customHeight="1" x14ac:dyDescent="0.2">
      <c r="A20" s="49" t="s">
        <v>653</v>
      </c>
      <c r="B20" s="177">
        <v>38974</v>
      </c>
      <c r="C20" s="49" t="s">
        <v>230</v>
      </c>
      <c r="D20" s="166"/>
      <c r="E20" s="166" t="s">
        <v>6</v>
      </c>
      <c r="F20" s="167"/>
      <c r="G20" s="168"/>
      <c r="H20" s="169"/>
      <c r="I20" s="176"/>
      <c r="J20" s="156"/>
      <c r="K20" s="157"/>
      <c r="L20" s="158" t="s">
        <v>647</v>
      </c>
    </row>
    <row r="21" spans="1:12" s="3" customFormat="1" ht="35.1" customHeight="1" x14ac:dyDescent="0.2">
      <c r="A21" s="49" t="s">
        <v>654</v>
      </c>
      <c r="B21" s="177">
        <v>38975</v>
      </c>
      <c r="C21" s="148" t="s">
        <v>248</v>
      </c>
      <c r="D21" s="166"/>
      <c r="E21" s="166" t="s">
        <v>6</v>
      </c>
      <c r="F21" s="167"/>
      <c r="G21" s="168"/>
      <c r="H21" s="169"/>
      <c r="I21" s="176"/>
      <c r="J21" s="156"/>
      <c r="K21" s="157"/>
      <c r="L21" s="158" t="s">
        <v>249</v>
      </c>
    </row>
    <row r="22" spans="1:12" s="3" customFormat="1" ht="35.1" customHeight="1" x14ac:dyDescent="0.2">
      <c r="A22" s="49" t="s">
        <v>655</v>
      </c>
      <c r="B22" s="177">
        <v>39080</v>
      </c>
      <c r="C22" s="49" t="s">
        <v>231</v>
      </c>
      <c r="D22" s="166"/>
      <c r="E22" s="166" t="s">
        <v>6</v>
      </c>
      <c r="F22" s="167"/>
      <c r="G22" s="168"/>
      <c r="H22" s="169"/>
      <c r="I22" s="176"/>
      <c r="J22" s="156"/>
      <c r="K22" s="157"/>
      <c r="L22" s="170" t="s">
        <v>256</v>
      </c>
    </row>
    <row r="23" spans="1:12" s="3" customFormat="1" ht="35.1" customHeight="1" x14ac:dyDescent="0.2">
      <c r="A23" s="49" t="s">
        <v>656</v>
      </c>
      <c r="B23" s="177">
        <v>39163</v>
      </c>
      <c r="C23" s="148" t="s">
        <v>41</v>
      </c>
      <c r="D23" s="166" t="s">
        <v>338</v>
      </c>
      <c r="E23" s="166" t="s">
        <v>6</v>
      </c>
      <c r="F23" s="167"/>
      <c r="G23" s="168"/>
      <c r="H23" s="169"/>
      <c r="I23" s="176"/>
      <c r="J23" s="156"/>
      <c r="K23" s="157"/>
      <c r="L23" s="158" t="s">
        <v>257</v>
      </c>
    </row>
    <row r="24" spans="1:12" s="3" customFormat="1" ht="35.1" customHeight="1" x14ac:dyDescent="0.2">
      <c r="A24" s="49" t="s">
        <v>657</v>
      </c>
      <c r="B24" s="177">
        <v>39035</v>
      </c>
      <c r="C24" s="222" t="s">
        <v>238</v>
      </c>
      <c r="D24" s="152"/>
      <c r="E24" s="152" t="s">
        <v>6</v>
      </c>
      <c r="F24" s="153"/>
      <c r="G24" s="159"/>
      <c r="H24" s="149"/>
      <c r="I24" s="163"/>
      <c r="J24" s="156"/>
      <c r="K24" s="157"/>
      <c r="L24" s="158" t="s">
        <v>672</v>
      </c>
    </row>
    <row r="25" spans="1:12" s="3" customFormat="1" ht="35.1" customHeight="1" x14ac:dyDescent="0.2">
      <c r="A25" s="49" t="s">
        <v>658</v>
      </c>
      <c r="B25" s="177">
        <v>39220</v>
      </c>
      <c r="C25" s="150" t="s">
        <v>250</v>
      </c>
      <c r="D25" s="152"/>
      <c r="E25" s="152" t="s">
        <v>6</v>
      </c>
      <c r="F25" s="153"/>
      <c r="G25" s="159"/>
      <c r="H25" s="149"/>
      <c r="I25" s="163"/>
      <c r="J25" s="156"/>
      <c r="K25" s="157"/>
      <c r="L25" s="158" t="s">
        <v>251</v>
      </c>
    </row>
    <row r="26" spans="1:12" s="226" customFormat="1" ht="63.75" x14ac:dyDescent="0.2">
      <c r="A26" s="49" t="s">
        <v>659</v>
      </c>
      <c r="B26" s="223">
        <v>39220</v>
      </c>
      <c r="C26" s="222" t="s">
        <v>232</v>
      </c>
      <c r="D26" s="41"/>
      <c r="E26" s="41" t="s">
        <v>6</v>
      </c>
      <c r="F26" s="237"/>
      <c r="G26" s="236"/>
      <c r="H26" s="42"/>
      <c r="I26" s="300"/>
      <c r="J26" s="224"/>
      <c r="K26" s="225"/>
      <c r="L26" s="215" t="s">
        <v>671</v>
      </c>
    </row>
    <row r="27" spans="1:12" ht="35.1" customHeight="1" x14ac:dyDescent="0.2">
      <c r="A27" s="214" t="s">
        <v>569</v>
      </c>
      <c r="B27" s="149">
        <v>39344</v>
      </c>
      <c r="C27" s="222" t="s">
        <v>192</v>
      </c>
      <c r="D27" s="151" t="s">
        <v>193</v>
      </c>
      <c r="E27" s="152" t="s">
        <v>6</v>
      </c>
      <c r="F27" s="153"/>
      <c r="G27" s="161"/>
      <c r="H27" s="162"/>
      <c r="I27" s="179"/>
      <c r="J27" s="156"/>
      <c r="K27" s="157"/>
      <c r="L27" s="158" t="s">
        <v>256</v>
      </c>
    </row>
    <row r="28" spans="1:12" ht="35.1" customHeight="1" x14ac:dyDescent="0.2">
      <c r="A28" s="214" t="s">
        <v>660</v>
      </c>
      <c r="B28" s="149">
        <v>39602</v>
      </c>
      <c r="C28" s="222" t="s">
        <v>233</v>
      </c>
      <c r="D28" s="151"/>
      <c r="E28" s="152" t="s">
        <v>6</v>
      </c>
      <c r="F28" s="153"/>
      <c r="G28" s="161"/>
      <c r="H28" s="162"/>
      <c r="I28" s="179"/>
      <c r="J28" s="156"/>
      <c r="K28" s="157"/>
      <c r="L28" s="170" t="s">
        <v>256</v>
      </c>
    </row>
    <row r="29" spans="1:12" ht="35.1" customHeight="1" x14ac:dyDescent="0.2">
      <c r="A29" s="214" t="s">
        <v>661</v>
      </c>
      <c r="B29" s="149">
        <v>39659</v>
      </c>
      <c r="C29" s="222" t="s">
        <v>234</v>
      </c>
      <c r="D29" s="151"/>
      <c r="E29" s="152" t="s">
        <v>6</v>
      </c>
      <c r="F29" s="153"/>
      <c r="G29" s="161"/>
      <c r="H29" s="162"/>
      <c r="I29" s="179"/>
      <c r="J29" s="156"/>
      <c r="K29" s="157"/>
      <c r="L29" s="170" t="s">
        <v>256</v>
      </c>
    </row>
    <row r="30" spans="1:12" ht="35.1" customHeight="1" x14ac:dyDescent="0.2">
      <c r="A30" s="214" t="s">
        <v>662</v>
      </c>
      <c r="B30" s="149">
        <v>39695</v>
      </c>
      <c r="C30" s="222" t="s">
        <v>237</v>
      </c>
      <c r="D30" s="151"/>
      <c r="E30" s="152" t="s">
        <v>6</v>
      </c>
      <c r="F30" s="153"/>
      <c r="G30" s="161"/>
      <c r="H30" s="162"/>
      <c r="I30" s="179"/>
      <c r="J30" s="156"/>
      <c r="K30" s="157"/>
      <c r="L30" s="158" t="s">
        <v>647</v>
      </c>
    </row>
    <row r="31" spans="1:12" ht="35.1" customHeight="1" x14ac:dyDescent="0.2">
      <c r="A31" s="214" t="s">
        <v>663</v>
      </c>
      <c r="B31" s="149">
        <v>39699</v>
      </c>
      <c r="C31" s="222" t="s">
        <v>235</v>
      </c>
      <c r="D31" s="151"/>
      <c r="E31" s="152" t="s">
        <v>6</v>
      </c>
      <c r="F31" s="153"/>
      <c r="G31" s="161"/>
      <c r="H31" s="162"/>
      <c r="I31" s="179"/>
      <c r="J31" s="156"/>
      <c r="K31" s="157"/>
      <c r="L31" s="158" t="s">
        <v>647</v>
      </c>
    </row>
    <row r="32" spans="1:12" ht="35.1" customHeight="1" x14ac:dyDescent="0.2">
      <c r="A32" s="214" t="s">
        <v>664</v>
      </c>
      <c r="B32" s="149">
        <v>39771</v>
      </c>
      <c r="C32" s="222" t="s">
        <v>236</v>
      </c>
      <c r="D32" s="151"/>
      <c r="E32" s="152" t="s">
        <v>6</v>
      </c>
      <c r="F32" s="153"/>
      <c r="G32" s="161"/>
      <c r="H32" s="162"/>
      <c r="I32" s="179"/>
      <c r="J32" s="156"/>
      <c r="K32" s="157"/>
      <c r="L32" s="158" t="s">
        <v>647</v>
      </c>
    </row>
    <row r="33" spans="1:12" ht="35.1" customHeight="1" x14ac:dyDescent="0.2">
      <c r="A33" s="214" t="s">
        <v>584</v>
      </c>
      <c r="B33" s="149">
        <v>40465</v>
      </c>
      <c r="C33" s="222" t="s">
        <v>244</v>
      </c>
      <c r="D33" s="151"/>
      <c r="E33" s="152" t="s">
        <v>6</v>
      </c>
      <c r="F33" s="153"/>
      <c r="G33" s="159"/>
      <c r="H33" s="149"/>
      <c r="I33" s="180"/>
      <c r="J33" s="156"/>
      <c r="K33" s="157"/>
      <c r="L33" s="158" t="s">
        <v>647</v>
      </c>
    </row>
    <row r="34" spans="1:12" ht="35.1" customHeight="1" x14ac:dyDescent="0.2">
      <c r="A34" s="214" t="s">
        <v>665</v>
      </c>
      <c r="B34" s="149">
        <v>40078</v>
      </c>
      <c r="C34" s="222" t="s">
        <v>239</v>
      </c>
      <c r="D34" s="151"/>
      <c r="E34" s="152" t="s">
        <v>6</v>
      </c>
      <c r="F34" s="153"/>
      <c r="G34" s="159"/>
      <c r="H34" s="149"/>
      <c r="I34" s="180"/>
      <c r="J34" s="156"/>
      <c r="K34" s="157"/>
      <c r="L34" s="158" t="s">
        <v>647</v>
      </c>
    </row>
    <row r="35" spans="1:12" ht="35.1" customHeight="1" x14ac:dyDescent="0.2">
      <c r="A35" s="214" t="s">
        <v>666</v>
      </c>
      <c r="B35" s="149">
        <v>40176</v>
      </c>
      <c r="C35" s="222" t="s">
        <v>109</v>
      </c>
      <c r="D35" s="151" t="s">
        <v>110</v>
      </c>
      <c r="E35" s="152" t="s">
        <v>6</v>
      </c>
      <c r="F35" s="153"/>
      <c r="G35" s="159"/>
      <c r="H35" s="149"/>
      <c r="I35" s="180"/>
      <c r="J35" s="156"/>
      <c r="K35" s="157"/>
      <c r="L35" s="158" t="s">
        <v>254</v>
      </c>
    </row>
    <row r="36" spans="1:12" ht="35.1" customHeight="1" x14ac:dyDescent="0.2">
      <c r="A36" s="214" t="s">
        <v>593</v>
      </c>
      <c r="B36" s="149">
        <v>40182</v>
      </c>
      <c r="C36" s="222" t="s">
        <v>195</v>
      </c>
      <c r="D36" s="151"/>
      <c r="E36" s="152" t="s">
        <v>6</v>
      </c>
      <c r="F36" s="153"/>
      <c r="G36" s="159"/>
      <c r="H36" s="149"/>
      <c r="I36" s="180"/>
      <c r="J36" s="156"/>
      <c r="K36" s="157"/>
      <c r="L36" s="158" t="s">
        <v>254</v>
      </c>
    </row>
    <row r="37" spans="1:12" ht="35.1" customHeight="1" x14ac:dyDescent="0.2">
      <c r="A37" s="214" t="s">
        <v>667</v>
      </c>
      <c r="B37" s="149">
        <v>40200</v>
      </c>
      <c r="C37" s="150" t="s">
        <v>240</v>
      </c>
      <c r="D37" s="151"/>
      <c r="E37" s="152" t="s">
        <v>6</v>
      </c>
      <c r="F37" s="153"/>
      <c r="G37" s="159"/>
      <c r="H37" s="149"/>
      <c r="I37" s="180"/>
      <c r="J37" s="156"/>
      <c r="K37" s="157"/>
      <c r="L37" s="158" t="s">
        <v>256</v>
      </c>
    </row>
    <row r="38" spans="1:12" ht="35.1" customHeight="1" x14ac:dyDescent="0.2">
      <c r="A38" s="214" t="s">
        <v>599</v>
      </c>
      <c r="B38" s="149">
        <v>40282</v>
      </c>
      <c r="C38" s="222" t="s">
        <v>103</v>
      </c>
      <c r="D38" s="151" t="s">
        <v>104</v>
      </c>
      <c r="E38" s="152" t="s">
        <v>6</v>
      </c>
      <c r="F38" s="153"/>
      <c r="G38" s="159"/>
      <c r="H38" s="149"/>
      <c r="I38" s="180"/>
      <c r="J38" s="156"/>
      <c r="K38" s="157"/>
      <c r="L38" s="158" t="s">
        <v>254</v>
      </c>
    </row>
    <row r="39" spans="1:12" ht="35.1" customHeight="1" x14ac:dyDescent="0.2">
      <c r="A39" s="214" t="s">
        <v>600</v>
      </c>
      <c r="B39" s="149">
        <v>40294</v>
      </c>
      <c r="C39" s="222" t="s">
        <v>241</v>
      </c>
      <c r="D39" s="151"/>
      <c r="E39" s="152" t="s">
        <v>6</v>
      </c>
      <c r="F39" s="153"/>
      <c r="G39" s="159"/>
      <c r="H39" s="149"/>
      <c r="I39" s="180"/>
      <c r="J39" s="156"/>
      <c r="K39" s="157"/>
      <c r="L39" s="158" t="s">
        <v>647</v>
      </c>
    </row>
    <row r="40" spans="1:12" ht="35.1" customHeight="1" x14ac:dyDescent="0.2">
      <c r="A40" s="214" t="s">
        <v>668</v>
      </c>
      <c r="B40" s="149">
        <v>40399</v>
      </c>
      <c r="C40" s="150" t="s">
        <v>242</v>
      </c>
      <c r="D40" s="151"/>
      <c r="E40" s="152" t="s">
        <v>6</v>
      </c>
      <c r="F40" s="153"/>
      <c r="G40" s="159"/>
      <c r="H40" s="149"/>
      <c r="I40" s="180"/>
      <c r="J40" s="156"/>
      <c r="K40" s="157"/>
      <c r="L40" s="170" t="s">
        <v>256</v>
      </c>
    </row>
    <row r="41" spans="1:12" ht="35.1" customHeight="1" x14ac:dyDescent="0.2">
      <c r="A41" s="214" t="s">
        <v>669</v>
      </c>
      <c r="B41" s="149">
        <v>40443</v>
      </c>
      <c r="C41" s="150" t="s">
        <v>243</v>
      </c>
      <c r="D41" s="151"/>
      <c r="E41" s="152" t="s">
        <v>6</v>
      </c>
      <c r="F41" s="153"/>
      <c r="G41" s="159"/>
      <c r="H41" s="149"/>
      <c r="I41" s="180"/>
      <c r="J41" s="156"/>
      <c r="K41" s="157"/>
      <c r="L41" s="170" t="s">
        <v>256</v>
      </c>
    </row>
    <row r="42" spans="1:12" ht="35.1" customHeight="1" x14ac:dyDescent="0.2">
      <c r="A42" s="214" t="s">
        <v>670</v>
      </c>
      <c r="B42" s="149">
        <v>40471</v>
      </c>
      <c r="C42" s="222" t="s">
        <v>235</v>
      </c>
      <c r="D42" s="151"/>
      <c r="E42" s="152" t="s">
        <v>6</v>
      </c>
      <c r="F42" s="153"/>
      <c r="G42" s="159"/>
      <c r="H42" s="149"/>
      <c r="I42" s="180"/>
      <c r="J42" s="156"/>
      <c r="K42" s="157"/>
      <c r="L42" s="158" t="s">
        <v>647</v>
      </c>
    </row>
    <row r="43" spans="1:12" ht="30.2" customHeight="1" x14ac:dyDescent="0.2">
      <c r="A43" s="214" t="s">
        <v>870</v>
      </c>
      <c r="B43" s="149">
        <v>40471</v>
      </c>
      <c r="C43" s="222" t="s">
        <v>878</v>
      </c>
      <c r="D43" s="151"/>
      <c r="E43" s="152" t="s">
        <v>6</v>
      </c>
      <c r="F43" s="153"/>
      <c r="G43" s="159">
        <v>2207.9</v>
      </c>
      <c r="H43" s="149">
        <v>40800</v>
      </c>
      <c r="I43" s="180" t="s">
        <v>869</v>
      </c>
      <c r="J43" s="156"/>
      <c r="K43" s="157"/>
      <c r="L43" s="158" t="s">
        <v>879</v>
      </c>
    </row>
    <row r="44" spans="1:12" ht="30.2" customHeight="1" x14ac:dyDescent="0.2">
      <c r="A44" s="841" t="s">
        <v>1231</v>
      </c>
      <c r="B44" s="149">
        <v>40205</v>
      </c>
      <c r="C44" s="839" t="s">
        <v>1232</v>
      </c>
      <c r="D44" s="151"/>
      <c r="E44" s="152" t="s">
        <v>6</v>
      </c>
      <c r="F44" s="153"/>
      <c r="G44" s="159"/>
      <c r="H44" s="149"/>
      <c r="I44" s="180"/>
      <c r="J44" s="156"/>
      <c r="K44" s="157"/>
      <c r="L44" s="158" t="s">
        <v>343</v>
      </c>
    </row>
    <row r="45" spans="1:12" ht="30.2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30.2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30.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30.2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30.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30.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30.2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30.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30.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30.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30.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30.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30.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30.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30.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30.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30.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30.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30.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30.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30.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30.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30.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30.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30.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30.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30.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30.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30.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30.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30.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30.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30.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30.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30.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30.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30.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30.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30.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30.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30.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s="183" customFormat="1" ht="13.7" customHeight="1" x14ac:dyDescent="0.2">
      <c r="A90" s="181"/>
      <c r="B90" s="182"/>
      <c r="D90" s="184"/>
      <c r="E90" s="185"/>
      <c r="F90" s="147"/>
      <c r="G90" s="186"/>
      <c r="H90" s="182"/>
      <c r="I90" s="187"/>
      <c r="J90" s="184"/>
      <c r="K90" s="188"/>
      <c r="L90" s="187"/>
    </row>
    <row r="91" spans="1:12" s="183" customFormat="1" ht="13.7" customHeight="1" x14ac:dyDescent="0.2">
      <c r="A91" s="181"/>
      <c r="B91" s="182"/>
      <c r="D91" s="184"/>
      <c r="E91" s="185"/>
      <c r="F91" s="147"/>
      <c r="G91" s="186"/>
      <c r="H91" s="182"/>
      <c r="I91" s="187"/>
      <c r="J91" s="184"/>
      <c r="K91" s="188"/>
      <c r="L91" s="187"/>
    </row>
    <row r="92" spans="1:12" s="183" customFormat="1" ht="13.7" customHeight="1" x14ac:dyDescent="0.2">
      <c r="A92" s="181"/>
      <c r="B92" s="182"/>
      <c r="D92" s="184"/>
      <c r="E92" s="185"/>
      <c r="F92" s="147"/>
      <c r="G92" s="186"/>
      <c r="H92" s="182"/>
      <c r="I92" s="187"/>
      <c r="J92" s="184"/>
      <c r="K92" s="184"/>
      <c r="L92" s="187"/>
    </row>
    <row r="93" spans="1:12" s="183" customFormat="1" ht="13.7" customHeight="1" x14ac:dyDescent="0.2">
      <c r="A93" s="181"/>
      <c r="B93" s="182"/>
      <c r="D93" s="184"/>
      <c r="E93" s="185"/>
      <c r="F93" s="147"/>
      <c r="G93" s="186"/>
      <c r="H93" s="182"/>
      <c r="I93" s="187"/>
      <c r="J93" s="184"/>
      <c r="K93" s="184"/>
      <c r="L93" s="187"/>
    </row>
    <row r="94" spans="1:12" s="183" customFormat="1" ht="13.7" customHeight="1" x14ac:dyDescent="0.2">
      <c r="A94" s="181"/>
      <c r="B94" s="182"/>
      <c r="C94" s="189"/>
      <c r="D94" s="184"/>
      <c r="E94" s="185"/>
      <c r="F94" s="147"/>
      <c r="G94" s="186"/>
      <c r="H94" s="182"/>
      <c r="I94" s="187"/>
      <c r="J94" s="184"/>
      <c r="K94" s="184"/>
      <c r="L94" s="187"/>
    </row>
    <row r="95" spans="1:12" s="183" customFormat="1" ht="13.7" customHeight="1" x14ac:dyDescent="0.2">
      <c r="A95" s="181"/>
      <c r="B95" s="182"/>
      <c r="C95" s="189"/>
      <c r="D95" s="184"/>
      <c r="E95" s="185"/>
      <c r="F95" s="147"/>
      <c r="G95" s="186"/>
      <c r="H95" s="182"/>
      <c r="I95" s="187"/>
      <c r="J95" s="184"/>
      <c r="K95" s="184"/>
      <c r="L95" s="187"/>
    </row>
    <row r="96" spans="1:12" ht="13.7" hidden="1" customHeight="1" x14ac:dyDescent="0.2">
      <c r="F96" s="146"/>
    </row>
    <row r="97" spans="6:6" ht="13.7" hidden="1" customHeight="1" x14ac:dyDescent="0.2">
      <c r="F97" s="146"/>
    </row>
    <row r="98" spans="6:6" ht="13.7" hidden="1" customHeight="1" x14ac:dyDescent="0.2">
      <c r="F98" s="146"/>
    </row>
  </sheetData>
  <autoFilter ref="A8:L42"/>
  <mergeCells count="7">
    <mergeCell ref="G6:I6"/>
    <mergeCell ref="A6:A7"/>
    <mergeCell ref="B6:B7"/>
    <mergeCell ref="C6:C7"/>
    <mergeCell ref="D6:D7"/>
    <mergeCell ref="E6:E7"/>
    <mergeCell ref="F6:F7"/>
  </mergeCells>
  <pageMargins left="0.511811023622047" right="0.118110236220472" top="0.74803149606299202" bottom="0.55118110236220497" header="0.31496062992126" footer="0.31496062992126"/>
  <pageSetup scale="75" orientation="landscape" r:id="rId1"/>
  <headerFooter>
    <oddHeader>&amp;L&amp;G&amp;C
&amp;"Arial,Negrita"&amp;12Appliances Airworthiness Directives Status AS355NP - EASA + DGAC-F</oddHeader>
    <oddFooter>&amp;LPrinted: &amp;D&amp;CPágina &amp;P de &amp;N&amp;RINAER HELICOPTER CHILE  S.A.
Ingeniería y Control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"/>
  <sheetViews>
    <sheetView showGridLines="0" view="pageBreakPreview" zoomScaleNormal="100" zoomScaleSheetLayoutView="100" workbookViewId="0">
      <selection activeCell="F27" sqref="F27"/>
    </sheetView>
  </sheetViews>
  <sheetFormatPr defaultColWidth="11.42578125" defaultRowHeight="11.25" x14ac:dyDescent="0.2"/>
  <cols>
    <col min="1" max="1" width="23.28515625" style="328" customWidth="1"/>
    <col min="2" max="2" width="10.28515625" style="328" customWidth="1"/>
    <col min="3" max="3" width="10.5703125" style="328" customWidth="1"/>
    <col min="4" max="4" width="11.140625" style="328" customWidth="1"/>
    <col min="5" max="5" width="14.42578125" style="328" customWidth="1"/>
    <col min="6" max="6" width="12.140625" style="328" customWidth="1"/>
    <col min="7" max="7" width="11.28515625" style="328" customWidth="1"/>
    <col min="8" max="8" width="12.140625" style="328" customWidth="1"/>
    <col min="9" max="9" width="7.42578125" style="328" hidden="1" customWidth="1"/>
    <col min="10" max="16384" width="11.42578125" style="328"/>
  </cols>
  <sheetData>
    <row r="3" spans="1:9" ht="12.75" x14ac:dyDescent="0.2">
      <c r="A3" s="1775" t="s">
        <v>212</v>
      </c>
      <c r="B3" s="1775"/>
      <c r="C3" s="1775"/>
      <c r="D3" s="1775"/>
      <c r="E3" s="1775"/>
      <c r="F3" s="1775"/>
      <c r="G3" s="1775"/>
      <c r="H3" s="1775"/>
    </row>
    <row r="4" spans="1:9" ht="12.75" x14ac:dyDescent="0.2">
      <c r="A4" s="1775" t="s">
        <v>84</v>
      </c>
      <c r="B4" s="1775"/>
      <c r="C4" s="1775"/>
      <c r="D4" s="1775"/>
      <c r="E4" s="1775"/>
      <c r="F4" s="1775"/>
      <c r="G4" s="1775"/>
      <c r="H4" s="1775"/>
    </row>
    <row r="5" spans="1:9" ht="12.75" x14ac:dyDescent="0.2">
      <c r="A5" s="1775" t="s">
        <v>1317</v>
      </c>
      <c r="B5" s="1775"/>
      <c r="C5" s="1775"/>
      <c r="D5" s="1775"/>
      <c r="E5" s="1775"/>
      <c r="F5" s="1775"/>
      <c r="G5" s="1775"/>
      <c r="H5" s="1775"/>
    </row>
    <row r="8" spans="1:9" s="333" customFormat="1" ht="12" x14ac:dyDescent="0.2">
      <c r="A8" s="458" t="s">
        <v>85</v>
      </c>
      <c r="B8" s="329">
        <v>5598</v>
      </c>
      <c r="C8" s="330"/>
      <c r="D8" s="331"/>
      <c r="E8" s="331"/>
      <c r="F8" s="330"/>
      <c r="G8" s="461" t="s">
        <v>54</v>
      </c>
      <c r="H8" s="332">
        <f>Id!E3</f>
        <v>41449</v>
      </c>
    </row>
    <row r="9" spans="1:9" s="333" customFormat="1" ht="12" x14ac:dyDescent="0.2">
      <c r="A9" s="459" t="s">
        <v>889</v>
      </c>
      <c r="B9" s="334">
        <f>Id!B11</f>
        <v>1192.5</v>
      </c>
      <c r="C9" s="330"/>
      <c r="D9" s="331"/>
      <c r="E9" s="335"/>
      <c r="F9" s="330"/>
      <c r="G9" s="462"/>
      <c r="H9" s="337"/>
    </row>
    <row r="10" spans="1:9" s="333" customFormat="1" ht="12" x14ac:dyDescent="0.2">
      <c r="A10" s="460" t="s">
        <v>890</v>
      </c>
      <c r="B10" s="336">
        <f>Id!E11</f>
        <v>3532</v>
      </c>
      <c r="C10" s="330"/>
      <c r="D10" s="331"/>
      <c r="E10" s="335"/>
      <c r="F10" s="330"/>
      <c r="G10" s="330"/>
      <c r="H10" s="330"/>
    </row>
    <row r="11" spans="1:9" s="338" customFormat="1" ht="12" x14ac:dyDescent="0.2"/>
    <row r="12" spans="1:9" s="338" customFormat="1" ht="8.4499999999999993" customHeight="1" thickBot="1" x14ac:dyDescent="0.25">
      <c r="A12" s="340"/>
      <c r="B12" s="340"/>
      <c r="C12" s="340"/>
      <c r="D12" s="340"/>
      <c r="E12" s="340"/>
      <c r="F12" s="340"/>
    </row>
    <row r="13" spans="1:9" s="338" customFormat="1" ht="12.75" thickBot="1" x14ac:dyDescent="0.25">
      <c r="A13" s="449" t="s">
        <v>86</v>
      </c>
      <c r="B13" s="450" t="s">
        <v>87</v>
      </c>
      <c r="C13" s="1776" t="s">
        <v>88</v>
      </c>
      <c r="D13" s="1777"/>
      <c r="E13" s="1778"/>
      <c r="F13" s="1776" t="s">
        <v>102</v>
      </c>
      <c r="G13" s="1777"/>
      <c r="H13" s="450" t="s">
        <v>89</v>
      </c>
    </row>
    <row r="14" spans="1:9" s="338" customFormat="1" ht="12.75" thickBot="1" x14ac:dyDescent="0.25">
      <c r="A14" s="451"/>
      <c r="B14" s="452"/>
      <c r="C14" s="453" t="s">
        <v>82</v>
      </c>
      <c r="D14" s="453" t="s">
        <v>90</v>
      </c>
      <c r="E14" s="453" t="s">
        <v>91</v>
      </c>
      <c r="F14" s="454" t="s">
        <v>82</v>
      </c>
      <c r="G14" s="454" t="s">
        <v>90</v>
      </c>
      <c r="H14" s="452"/>
    </row>
    <row r="15" spans="1:9" s="338" customFormat="1" ht="9.75" customHeight="1" thickBot="1" x14ac:dyDescent="0.25">
      <c r="A15" s="455"/>
      <c r="B15" s="456"/>
      <c r="C15" s="456"/>
      <c r="D15" s="456"/>
      <c r="E15" s="456"/>
      <c r="F15" s="456"/>
      <c r="G15" s="456"/>
      <c r="H15" s="457"/>
    </row>
    <row r="16" spans="1:9" s="1138" customFormat="1" ht="36" customHeight="1" x14ac:dyDescent="0.2">
      <c r="A16" s="1131" t="s">
        <v>686</v>
      </c>
      <c r="B16" s="1132">
        <v>24</v>
      </c>
      <c r="C16" s="1133">
        <v>41143</v>
      </c>
      <c r="D16" s="1134">
        <v>1007</v>
      </c>
      <c r="E16" s="1135" t="s">
        <v>1314</v>
      </c>
      <c r="F16" s="1136">
        <f>C16+(365*2)</f>
        <v>41873</v>
      </c>
      <c r="G16" s="607"/>
      <c r="H16" s="1137">
        <f>F16-$H$8</f>
        <v>424</v>
      </c>
      <c r="I16" s="1138" t="str">
        <f>IF(H:H&lt;=50,"ALERTA","")</f>
        <v/>
      </c>
    </row>
    <row r="17" spans="1:9" s="1138" customFormat="1" ht="36" customHeight="1" x14ac:dyDescent="0.2">
      <c r="A17" s="1131" t="s">
        <v>685</v>
      </c>
      <c r="B17" s="1132">
        <v>24</v>
      </c>
      <c r="C17" s="1133">
        <v>41143</v>
      </c>
      <c r="D17" s="1134">
        <v>1007</v>
      </c>
      <c r="E17" s="1135" t="s">
        <v>1314</v>
      </c>
      <c r="F17" s="1136">
        <f t="shared" ref="F17" si="0">C17+(365*2)</f>
        <v>41873</v>
      </c>
      <c r="G17" s="607"/>
      <c r="H17" s="1137">
        <f t="shared" ref="H17" si="1">F17-$H$8</f>
        <v>424</v>
      </c>
      <c r="I17" s="1138" t="str">
        <f>IF(H:H&lt;=50,"ALERTA","")</f>
        <v/>
      </c>
    </row>
    <row r="18" spans="1:9" s="1138" customFormat="1" ht="36" customHeight="1" x14ac:dyDescent="0.2">
      <c r="A18" s="1139" t="s">
        <v>1319</v>
      </c>
      <c r="B18" s="1140">
        <v>24</v>
      </c>
      <c r="C18" s="1141">
        <v>41143</v>
      </c>
      <c r="D18" s="1142">
        <v>1007</v>
      </c>
      <c r="E18" s="1143" t="s">
        <v>1314</v>
      </c>
      <c r="F18" s="1144">
        <f t="shared" ref="F18" si="2">C18+(365*2)</f>
        <v>41873</v>
      </c>
      <c r="G18" s="607"/>
      <c r="H18" s="1145">
        <f t="shared" ref="H18" si="3">F18-$H$8</f>
        <v>424</v>
      </c>
      <c r="I18" s="1138" t="str">
        <f>IF(H:H&lt;=50,"ALERTA","")</f>
        <v/>
      </c>
    </row>
    <row r="19" spans="1:9" s="1138" customFormat="1" ht="36" customHeight="1" x14ac:dyDescent="0.2">
      <c r="A19" s="1139" t="s">
        <v>1414</v>
      </c>
      <c r="B19" s="1146">
        <v>100</v>
      </c>
      <c r="C19" s="1141">
        <v>41418</v>
      </c>
      <c r="D19" s="1142">
        <v>1171.2</v>
      </c>
      <c r="E19" s="1143" t="s">
        <v>1415</v>
      </c>
      <c r="F19" s="607"/>
      <c r="G19" s="1159">
        <f>D19+100</f>
        <v>1271.2</v>
      </c>
      <c r="H19" s="1147">
        <f>G19-$B$9</f>
        <v>78.700000000000045</v>
      </c>
      <c r="I19" s="1138" t="str">
        <f>IF(H:H&lt;=50,"ALERTA","")</f>
        <v/>
      </c>
    </row>
    <row r="20" spans="1:9" s="338" customFormat="1" ht="36" customHeight="1" x14ac:dyDescent="0.2">
      <c r="A20" s="1139" t="s">
        <v>1412</v>
      </c>
      <c r="B20" s="1146">
        <v>300</v>
      </c>
      <c r="C20" s="1160">
        <v>41262</v>
      </c>
      <c r="D20" s="1142">
        <v>1067.5999999999999</v>
      </c>
      <c r="E20" s="1143" t="s">
        <v>1410</v>
      </c>
      <c r="F20" s="607"/>
      <c r="G20" s="1159">
        <f>D20+300</f>
        <v>1367.6</v>
      </c>
      <c r="H20" s="1147">
        <f>G20-$B$9</f>
        <v>175.09999999999991</v>
      </c>
    </row>
    <row r="21" spans="1:9" s="338" customFormat="1" ht="36" customHeight="1" x14ac:dyDescent="0.2">
      <c r="A21" s="1139" t="s">
        <v>1413</v>
      </c>
      <c r="B21" s="1146">
        <v>600</v>
      </c>
      <c r="C21" s="1160">
        <v>41262</v>
      </c>
      <c r="D21" s="1142">
        <v>1067.5999999999999</v>
      </c>
      <c r="E21" s="1143" t="s">
        <v>1410</v>
      </c>
      <c r="F21" s="1144">
        <f t="shared" ref="F21" si="4">C21+(365*2)</f>
        <v>41992</v>
      </c>
      <c r="G21" s="1159">
        <f>D21+600</f>
        <v>1667.6</v>
      </c>
      <c r="H21" s="1147">
        <f>G21-$B$9</f>
        <v>475.09999999999991</v>
      </c>
    </row>
    <row r="22" spans="1:9" s="338" customFormat="1" ht="36" customHeight="1" x14ac:dyDescent="0.2">
      <c r="A22" s="1139" t="s">
        <v>1426</v>
      </c>
      <c r="B22" s="1146">
        <v>600</v>
      </c>
      <c r="C22" s="1160">
        <v>41418</v>
      </c>
      <c r="D22" s="1142">
        <v>1171.2</v>
      </c>
      <c r="E22" s="1143" t="s">
        <v>1427</v>
      </c>
      <c r="F22" s="1144">
        <f t="shared" ref="F22" si="5">C22+(365*2)</f>
        <v>42148</v>
      </c>
      <c r="G22" s="1159">
        <f>D22+600</f>
        <v>1771.2</v>
      </c>
      <c r="H22" s="1147">
        <f>G22-$B$9</f>
        <v>578.70000000000005</v>
      </c>
    </row>
    <row r="23" spans="1:9" ht="36" x14ac:dyDescent="0.2">
      <c r="A23" s="1313" t="s">
        <v>1443</v>
      </c>
      <c r="B23" s="1312">
        <v>1</v>
      </c>
      <c r="C23" s="1316">
        <v>41440</v>
      </c>
      <c r="D23" s="1142">
        <v>1187.9000000000001</v>
      </c>
      <c r="E23" s="1314" t="s">
        <v>1447</v>
      </c>
      <c r="F23" s="1144">
        <f>C23+(365)</f>
        <v>41805</v>
      </c>
      <c r="G23" s="607"/>
      <c r="H23" s="1145">
        <f>F23-H8</f>
        <v>356</v>
      </c>
    </row>
    <row r="24" spans="1:9" ht="36" x14ac:dyDescent="0.2">
      <c r="A24" s="1313" t="s">
        <v>1443</v>
      </c>
      <c r="B24" s="1312">
        <v>5</v>
      </c>
      <c r="C24" s="1316">
        <v>41440</v>
      </c>
      <c r="D24" s="1142">
        <v>1187.9000000000001</v>
      </c>
      <c r="E24" s="1314" t="s">
        <v>1447</v>
      </c>
      <c r="F24" s="1144">
        <f>C24+(365*5)</f>
        <v>43265</v>
      </c>
      <c r="G24" s="607"/>
      <c r="H24" s="1145">
        <f>F24-H8</f>
        <v>1816</v>
      </c>
    </row>
    <row r="25" spans="1:9" x14ac:dyDescent="0.2">
      <c r="A25" s="327"/>
      <c r="B25" s="327"/>
      <c r="C25" s="327"/>
      <c r="D25" s="327"/>
      <c r="E25" s="327"/>
      <c r="F25" s="327"/>
      <c r="G25" s="327"/>
      <c r="H25" s="327"/>
    </row>
    <row r="26" spans="1:9" x14ac:dyDescent="0.2">
      <c r="A26" s="327"/>
      <c r="B26" s="327"/>
      <c r="C26" s="327"/>
      <c r="D26" s="327"/>
      <c r="E26" s="327"/>
      <c r="F26" s="327"/>
      <c r="G26" s="327"/>
      <c r="H26" s="327"/>
    </row>
    <row r="27" spans="1:9" x14ac:dyDescent="0.2">
      <c r="A27" s="327"/>
      <c r="B27" s="327"/>
      <c r="C27" s="327"/>
      <c r="D27" s="327"/>
      <c r="E27" s="327"/>
      <c r="F27" s="327"/>
      <c r="G27" s="327"/>
      <c r="H27" s="327"/>
    </row>
    <row r="28" spans="1:9" x14ac:dyDescent="0.2">
      <c r="A28" s="327"/>
      <c r="B28" s="327"/>
      <c r="C28" s="327"/>
      <c r="D28" s="327"/>
      <c r="E28" s="327"/>
      <c r="F28" s="327"/>
      <c r="G28" s="327"/>
      <c r="H28" s="327"/>
    </row>
    <row r="29" spans="1:9" x14ac:dyDescent="0.2">
      <c r="A29" s="327"/>
      <c r="B29" s="327"/>
      <c r="C29" s="327"/>
      <c r="D29" s="327"/>
      <c r="E29" s="327"/>
      <c r="F29" s="327"/>
      <c r="G29" s="327"/>
      <c r="H29" s="327"/>
    </row>
    <row r="30" spans="1:9" x14ac:dyDescent="0.2">
      <c r="A30" s="327"/>
      <c r="B30" s="327"/>
      <c r="C30" s="327"/>
      <c r="D30" s="327"/>
      <c r="E30" s="327"/>
      <c r="F30" s="327"/>
      <c r="G30" s="327"/>
      <c r="H30" s="327"/>
    </row>
    <row r="31" spans="1:9" x14ac:dyDescent="0.2">
      <c r="A31" s="327"/>
      <c r="B31" s="327"/>
      <c r="C31" s="327"/>
      <c r="D31" s="327"/>
      <c r="E31" s="327"/>
      <c r="F31" s="327"/>
      <c r="G31" s="327"/>
      <c r="H31" s="327"/>
    </row>
    <row r="32" spans="1:9" x14ac:dyDescent="0.2">
      <c r="A32" s="327"/>
      <c r="B32" s="327"/>
      <c r="C32" s="327"/>
      <c r="D32" s="327"/>
      <c r="E32" s="327"/>
      <c r="F32" s="327"/>
      <c r="G32" s="327"/>
      <c r="H32" s="327"/>
    </row>
    <row r="33" spans="1:8" x14ac:dyDescent="0.2">
      <c r="A33" s="1317"/>
      <c r="B33" s="327"/>
      <c r="C33" s="327"/>
      <c r="D33" s="327"/>
      <c r="E33" s="327"/>
      <c r="F33" s="327"/>
      <c r="G33" s="327"/>
      <c r="H33" s="327"/>
    </row>
    <row r="34" spans="1:8" ht="12.75" x14ac:dyDescent="0.2">
      <c r="A34" s="3"/>
      <c r="B34" s="327"/>
      <c r="C34" s="327"/>
      <c r="D34" s="327"/>
      <c r="E34" s="327"/>
      <c r="F34" s="339"/>
      <c r="G34" s="327"/>
      <c r="H34" s="327"/>
    </row>
    <row r="35" spans="1:8" ht="12.75" x14ac:dyDescent="0.2">
      <c r="A35" s="3"/>
    </row>
  </sheetData>
  <mergeCells count="5">
    <mergeCell ref="A3:H3"/>
    <mergeCell ref="A4:H4"/>
    <mergeCell ref="A5:H5"/>
    <mergeCell ref="C13:E13"/>
    <mergeCell ref="F13:G13"/>
  </mergeCells>
  <phoneticPr fontId="12" type="noConversion"/>
  <conditionalFormatting sqref="I1:I1048576">
    <cfRule type="containsText" dxfId="1" priority="4" stopIfTrue="1" operator="containsText" text="ALERTA">
      <formula>NOT(ISERROR(SEARCH("ALERTA",I1)))</formula>
    </cfRule>
  </conditionalFormatting>
  <pageMargins left="0.433070866" right="0.196850393700787" top="0.511811023622047" bottom="0.511811023622047" header="0.31496062992126" footer="0.511811023622047"/>
  <pageSetup scale="89" orientation="portrait" r:id="rId1"/>
  <headerFooter alignWithMargins="0">
    <oddFooter>&amp;LPrinted: &amp;D&amp;RINAER HELICOPTER CHILE S.A.
INGENIERÍA Y CONTROL</oddFooter>
  </headerFooter>
  <colBreaks count="1" manualBreakCount="1">
    <brk id="8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Id</vt:lpstr>
      <vt:lpstr>STATUS DE INSPECCIONES</vt:lpstr>
      <vt:lpstr>ALS</vt:lpstr>
      <vt:lpstr>COMPONENTS STATUS</vt:lpstr>
      <vt:lpstr>AD DE AERONAVE</vt:lpstr>
      <vt:lpstr>AD's MOTOR 1</vt:lpstr>
      <vt:lpstr>AD´s MOTOR 2</vt:lpstr>
      <vt:lpstr>ADs APPLIANCES</vt:lpstr>
      <vt:lpstr>ICA</vt:lpstr>
      <vt:lpstr>DA</vt:lpstr>
      <vt:lpstr>CONTROL DIARIO</vt:lpstr>
      <vt:lpstr>OPCIONALES</vt:lpstr>
      <vt:lpstr>'AD DE AERONAVE'!Print_Area</vt:lpstr>
      <vt:lpstr>'AD´s MOTOR 2'!Print_Area</vt:lpstr>
      <vt:lpstr>'AD''s MOTOR 1'!Print_Area</vt:lpstr>
      <vt:lpstr>'COMPONENTS STATUS'!Print_Area</vt:lpstr>
      <vt:lpstr>DA!Print_Area</vt:lpstr>
      <vt:lpstr>ICA!Print_Area</vt:lpstr>
      <vt:lpstr>Id!Print_Area</vt:lpstr>
      <vt:lpstr>'STATUS DE INSPECCIONES'!Print_Area</vt:lpstr>
      <vt:lpstr>'AD DE AERONAVE'!Print_Titles</vt:lpstr>
      <vt:lpstr>'ADs APPLIANCES'!Print_Titles</vt:lpstr>
      <vt:lpstr>'AD''s MOTOR 1'!Print_Titles</vt:lpstr>
      <vt:lpstr>'COMPONENTS STATUS'!Print_Titles</vt:lpstr>
      <vt:lpstr>ICA!Print_Titles</vt:lpstr>
      <vt:lpstr>'STATUS DE INSPECCIONES'!Print_Titles</vt:lpstr>
    </vt:vector>
  </TitlesOfParts>
  <Company>TRUMAN Ltda.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Trujillo</dc:creator>
  <cp:lastModifiedBy>Dbohonis</cp:lastModifiedBy>
  <cp:lastPrinted>2013-06-28T15:31:39Z</cp:lastPrinted>
  <dcterms:created xsi:type="dcterms:W3CDTF">2005-01-31T19:37:22Z</dcterms:created>
  <dcterms:modified xsi:type="dcterms:W3CDTF">2015-01-19T21:15:23Z</dcterms:modified>
</cp:coreProperties>
</file>